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5480" windowHeight="11640"/>
  </bookViews>
  <sheets>
    <sheet name="Du kien VonNSDP 2020" sheetId="1" r:id="rId1"/>
  </sheets>
  <externalReferences>
    <externalReference r:id="rId2"/>
  </externalReferences>
  <definedNames>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Tru21" hidden="1">{"'Sheet1'!$L$16"}</definedName>
    <definedName name="___a1" hidden="1">{"'Sheet1'!$L$16"}</definedName>
    <definedName name="___B1" hidden="1">{"'Sheet1'!$L$16"}</definedName>
    <definedName name="___ban2" hidden="1">{"'Sheet1'!$L$16"}</definedName>
    <definedName name="___boi1">#REF!</definedName>
    <definedName name="___boi2">#REF!</definedName>
    <definedName name="___boi3">#REF!</definedName>
    <definedName name="___boi4">#REF!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ao1">#REF!</definedName>
    <definedName name="___dbu1">#REF!</definedName>
    <definedName name="___dbu2">#REF!</definedName>
    <definedName name="___ddn400">#REF!</definedName>
    <definedName name="___ddn600">#REF!</definedName>
    <definedName name="___gon4">#REF!</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km190">#REF!</definedName>
    <definedName name="___km191">#REF!</definedName>
    <definedName name="___km192">#REF!</definedName>
    <definedName name="___lap1">#REF!</definedName>
    <definedName name="___lap2">#REF!</definedName>
    <definedName name="___M36" hidden="1">{"'Sheet1'!$L$16"}</definedName>
    <definedName name="___MAC12">#REF!</definedName>
    <definedName name="___MAC46">#REF!</definedName>
    <definedName name="___NET2">#REF!</definedName>
    <definedName name="___NSO2" hidden="1">{"'Sheet1'!$L$16"}</definedName>
    <definedName name="___PA3" hidden="1">{"'Sheet1'!$L$16"}</definedName>
    <definedName name="___PL1242">#REF!</definedName>
    <definedName name="___Pl2" hidden="1">{"'Sheet1'!$L$16"}</definedName>
    <definedName name="___PL3" hidden="1">#REF!</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#REF!</definedName>
    <definedName name="___TL2">#REF!</definedName>
    <definedName name="___TLA120">#REF!</definedName>
    <definedName name="___TLA35">#REF!</definedName>
    <definedName name="___TLA50">#REF!</definedName>
    <definedName name="___TLA70">#REF!</definedName>
    <definedName name="___TLA95">#REF!</definedName>
    <definedName name="___TH1">#REF!</definedName>
    <definedName name="___TH2">#REF!</definedName>
    <definedName name="___TH3">#REF!</definedName>
    <definedName name="___Tru21" hidden="1">{"'Sheet1'!$L$16"}</definedName>
    <definedName name="___vc1">#REF!</definedName>
    <definedName name="___vc2">#REF!</definedName>
    <definedName name="___vc3">#REF!</definedName>
    <definedName name="___vl2" hidden="1">{"'Sheet1'!$L$16"}</definedName>
    <definedName name="__a1" hidden="1">{"'Sheet1'!$L$16"}</definedName>
    <definedName name="__B1"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n4">#REF!</definedName>
    <definedName name="__h1" hidden="1">{"'Sheet1'!$L$16"}</definedName>
    <definedName name="__hom2">#REF!</definedName>
    <definedName name="__hsm2">1.1289</definedName>
    <definedName name="__hu1" hidden="1">{"'Sheet1'!$L$16"}</definedName>
    <definedName name="__hu2" hidden="1">{"'Sheet1'!$L$16"}</definedName>
    <definedName name="__hu5" hidden="1">{"'Sheet1'!$L$16"}</definedName>
    <definedName name="__hu6" hidden="1">{"'Sheet1'!$L$16"}</definedName>
    <definedName name="__isc1">0.035</definedName>
    <definedName name="__isc2">0.02</definedName>
    <definedName name="__isc3">0.054</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hidden="1">{"'Sheet1'!$L$16"}</definedName>
    <definedName name="__PA3" hidden="1">{"'Sheet1'!$L$16"}</definedName>
    <definedName name="__PL1242">#REF!</definedName>
    <definedName name="__Pl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#REF!</definedName>
    <definedName name="__sua30">#REF!</definedName>
    <definedName name="__TB1">#REF!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H1">#REF!</definedName>
    <definedName name="__TH2">#REF!</definedName>
    <definedName name="__TH3">#REF!</definedName>
    <definedName name="__Tru21" hidden="1">{"'Sheet1'!$L$16"}</definedName>
    <definedName name="__vc1">#REF!</definedName>
    <definedName name="__vc2">#REF!</definedName>
    <definedName name="__vc3">#REF!</definedName>
    <definedName name="__VL100">#REF!</definedName>
    <definedName name="__vl2" hidden="1">{"'Sheet1'!$L$16"}</definedName>
    <definedName name="__VL250">#REF!</definedName>
    <definedName name="_1">#N/A</definedName>
    <definedName name="_1000A01">#N/A</definedName>
    <definedName name="_2">#N/A</definedName>
    <definedName name="_40x4">5100</definedName>
    <definedName name="_a1" hidden="1">{"'Sheet1'!$L$16"}</definedName>
    <definedName name="_B1" hidden="1">{"'Sheet1'!$L$16"}</definedName>
    <definedName name="_ban2" hidden="1">{"'Sheet1'!$L$16"}</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ill" hidden="1">#REF!</definedName>
    <definedName name="_xlnm._FilterDatabase" localSheetId="0" hidden="1">'Du kien VonNSDP 2020'!$13:$322</definedName>
    <definedName name="_xlnm._FilterDatabase" hidden="1">#REF!</definedName>
    <definedName name="_gon4">#REF!</definedName>
    <definedName name="_h1" hidden="1">{"'Sheet1'!$L$16"}</definedName>
    <definedName name="_hom2">#REF!</definedName>
    <definedName name="_hsm2">1.1289</definedName>
    <definedName name="_hu1" hidden="1">{"'Sheet1'!$L$16"}</definedName>
    <definedName name="_hu2" hidden="1">{"'Sheet1'!$L$16"}</definedName>
    <definedName name="_hu5" hidden="1">{"'Sheet1'!$L$16"}</definedName>
    <definedName name="_hu6" hidden="1">{"'Sheet1'!$L$16"}</definedName>
    <definedName name="_isc1">0.035</definedName>
    <definedName name="_isc2">0.02</definedName>
    <definedName name="_isc3">0.054</definedName>
    <definedName name="_Key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36" hidden="1">{"'Sheet1'!$L$16"}</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NSO2" hidden="1">{"'Sheet1'!$L$16"}</definedName>
    <definedName name="_Order1" hidden="1">255</definedName>
    <definedName name="_Order2" hidden="1">255</definedName>
    <definedName name="_PA3" hidden="1">{"'Sheet1'!$L$16"}</definedName>
    <definedName name="_PL1242">#REF!</definedName>
    <definedName name="_Pl2" hidden="1">{"'Sheet1'!$L$16"}</definedName>
    <definedName name="_PL3" hidden="1">#REF!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C10">0.3456</definedName>
    <definedName name="_SOC8">0.2827</definedName>
    <definedName name="_Sort" hidden="1">#REF!</definedName>
    <definedName name="_Sta1">531.877</definedName>
    <definedName name="_Sta2">561.952</definedName>
    <definedName name="_Sta3">712.202</definedName>
    <definedName name="_Sta4">762.202</definedName>
    <definedName name="_sua20">#REF!</definedName>
    <definedName name="_sua30">#REF!</definedName>
    <definedName name="_TB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H1">#REF!</definedName>
    <definedName name="_TH2">#REF!</definedName>
    <definedName name="_TH3">#REF!</definedName>
    <definedName name="_Tru21" hidden="1">{"'Sheet1'!$L$16"}</definedName>
    <definedName name="_vc1">#REF!</definedName>
    <definedName name="_vc2">#REF!</definedName>
    <definedName name="_vc3">#REF!</definedName>
    <definedName name="_VL100">#REF!</definedName>
    <definedName name="_vl2" hidden="1">{"'Sheet1'!$L$16"}</definedName>
    <definedName name="_VL250">#REF!</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ll_Item">#REF!</definedName>
    <definedName name="ALPIN">#N/A</definedName>
    <definedName name="ALPJYOU">#N/A</definedName>
    <definedName name="ALPTOI">#N/A</definedName>
    <definedName name="anpha">#REF!</definedName>
    <definedName name="anscount" hidden="1">3</definedName>
    <definedName name="ATGT" hidden="1">{"'Sheet1'!$L$16"}</definedName>
    <definedName name="B.nuamat">7.25</definedName>
    <definedName name="b_240">#REF!</definedName>
    <definedName name="b_280">#REF!</definedName>
    <definedName name="b_320">#REF!</definedName>
    <definedName name="Bang_cly">#REF!</definedName>
    <definedName name="Bang_CVC">#REF!</definedName>
    <definedName name="BANG_CHI_TIET_THI_NGHIEM_CONG_TO">#REF!</definedName>
    <definedName name="BANG_CHI_TIET_THI_NGHIEM_DZ0.4KV">#REF!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dd">1.5</definedName>
    <definedName name="benuoc">#REF!</definedName>
    <definedName name="bengam">#REF!</definedName>
    <definedName name="beta">#REF!</definedName>
    <definedName name="blkh">#REF!</definedName>
    <definedName name="blkh1">#REF!</definedName>
    <definedName name="Bm">3.5</definedName>
    <definedName name="Bn">6.5</definedName>
    <definedName name="Book2">#REF!</definedName>
    <definedName name="BOQ">#REF!</definedName>
    <definedName name="BT">#REF!</definedName>
    <definedName name="btcocM400">#REF!</definedName>
    <definedName name="btchiuaxitm300">#REF!</definedName>
    <definedName name="BTchiuaxm2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#REF!</definedName>
    <definedName name="ca.1111.th">#REF!</definedName>
    <definedName name="CACAU">298161</definedName>
    <definedName name="cao">#REF!</definedName>
    <definedName name="Cat">#REF!</definedName>
    <definedName name="Category_All">#REF!</definedName>
    <definedName name="CATIN">#N/A</definedName>
    <definedName name="CATJYOU">#N/A</definedName>
    <definedName name="catm">#REF!</definedName>
    <definedName name="catn">#REF!</definedName>
    <definedName name="CATSYU">#N/A</definedName>
    <definedName name="catvang">#REF!</definedName>
    <definedName name="CATREC">#N/A</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ST_EQ">#REF!</definedName>
    <definedName name="Cong_HM_DTCT">#REF!</definedName>
    <definedName name="Cong_M_DTCT">#REF!</definedName>
    <definedName name="Cong_NC_DTCT">#REF!</definedName>
    <definedName name="Cong_VL_DTCT">#REF!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CH">#REF!</definedName>
    <definedName name="chitietbgiang2" hidden="1">{"'Sheet1'!$L$16"}</definedName>
    <definedName name="chon">#REF!</definedName>
    <definedName name="chon1">#REF!</definedName>
    <definedName name="chon2">#REF!</definedName>
    <definedName name="chon3">#REF!</definedName>
    <definedName name="chung">66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CL_22">12117600</definedName>
    <definedName name="DCL_35">25490000</definedName>
    <definedName name="DD">#REF!</definedName>
    <definedName name="DDAY">#REF!</definedName>
    <definedName name="dddem">0.1</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gbdII">#REF!</definedName>
    <definedName name="DGCTI592">#REF!</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otcong">1</definedName>
    <definedName name="drf" hidden="1">#REF!</definedName>
    <definedName name="ds" hidden="1">{#N/A,#N/A,FALSE,"Chi tiÆt"}</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toanDongmo">#REF!</definedName>
    <definedName name="E.chandoc">8.875</definedName>
    <definedName name="E.PC">10.438</definedName>
    <definedName name="E.PVI">12</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CTOR">#REF!</definedName>
    <definedName name="FCode" hidden="1">#REF!</definedName>
    <definedName name="FI_12">4820</definedName>
    <definedName name="g" hidden="1">{"'Sheet1'!$L$16"}</definedName>
    <definedName name="G_ME">#REF!</definedName>
    <definedName name="gach">#REF!</definedName>
    <definedName name="geo">#REF!</definedName>
    <definedName name="gg">#REF!</definedName>
    <definedName name="ghip">#REF!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h" hidden="1">{"'Sheet1'!$L$16"}</definedName>
    <definedName name="H_THUCTT">#REF!</definedName>
    <definedName name="H_THUCHTHH">#REF!</definedName>
    <definedName name="HCM">#REF!</definedName>
    <definedName name="Hdao">0.3</definedName>
    <definedName name="Hdap">5.2</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oc">55000</definedName>
    <definedName name="HOME_MANP">#REF!</definedName>
    <definedName name="HOMEOFFICE_COST">#REF!</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1</definedName>
    <definedName name="hsvl2">1</definedName>
    <definedName name="HT">#REF!</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THH">#REF!</definedName>
    <definedName name="hu" hidden="1">{"'Sheet1'!$L$16"}</definedName>
    <definedName name="HUU" hidden="1">{"'Sheet1'!$L$16"}</definedName>
    <definedName name="huy" hidden="1">{"'Sheet1'!$L$16"}</definedName>
    <definedName name="I">#REF!</definedName>
    <definedName name="IDLAB_COST">#REF!</definedName>
    <definedName name="IND_LAB">#REF!</definedName>
    <definedName name="INDMANP">#REF!</definedName>
    <definedName name="j" hidden="1">{"'Sheet1'!$L$16"}</definedName>
    <definedName name="j356C8">#REF!</definedName>
    <definedName name="k" hidden="1">{"'Sheet1'!$L$16"}</definedName>
    <definedName name="k2b">#REF!</definedName>
    <definedName name="kco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ME">#REF!</definedName>
    <definedName name="KLTHDN">#REF!</definedName>
    <definedName name="KLVANKHUON">#REF!</definedName>
    <definedName name="kp1ph">#REF!</definedName>
    <definedName name="ksbn" hidden="1">{"'Sheet1'!$L$16"}</definedName>
    <definedName name="kshn" hidden="1">{"'Sheet1'!$L$16"}</definedName>
    <definedName name="ksls" hidden="1">{"'Sheet1'!$L$16"}</definedName>
    <definedName name="KSTK">#REF!</definedName>
    <definedName name="KH_Chang">#REF!</definedName>
    <definedName name="khac">2</definedName>
    <definedName name="KHOI_LUONG_DAT_DAO_DAP">#REF!</definedName>
    <definedName name="khongtruotgia" hidden="1">{"'Sheet1'!$L$16"}</definedName>
    <definedName name="l" hidden="1">{"'Sheet1'!$L$16"}</definedName>
    <definedName name="L_mong">#REF!</definedName>
    <definedName name="L63x6">5800</definedName>
    <definedName name="lan" hidden="1">{#N/A,#N/A,TRUE,"BT M200 da 10x20"}</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N">#REF!</definedName>
    <definedName name="mo" hidden="1">{"'Sheet1'!$L$16"}</definedName>
    <definedName name="moi" hidden="1">{"'Sheet1'!$L$16"}</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yle">#REF!</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t">#REF!</definedName>
    <definedName name="n1ping">#REF!</definedName>
    <definedName name="N1pINGvc">#REF!</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nc">#REF!</definedName>
    <definedName name="nint1p">#REF!</definedName>
    <definedName name="nintnc1p">#REF!</definedName>
    <definedName name="nintvl1p">#REF!</definedName>
    <definedName name="NINvc">#REF!</definedName>
    <definedName name="NINvl">#REF!</definedName>
    <definedName name="ning1p">#REF!</definedName>
    <definedName name="ningnc1p">#REF!</definedName>
    <definedName name="ningvl1p">#REF!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o">#REF!</definedName>
    <definedName name="nx">#REF!</definedName>
    <definedName name="NH">#REF!</definedName>
    <definedName name="nhn">#REF!</definedName>
    <definedName name="NHot">#REF!</definedName>
    <definedName name="nhu">#REF!</definedName>
    <definedName name="nhua">#REF!</definedName>
    <definedName name="nhuad">#REF!</definedName>
    <definedName name="ophom">#REF!</definedName>
    <definedName name="OrderTable" hidden="1">#REF!</definedName>
    <definedName name="osc">#REF!</definedName>
    <definedName name="PA">#REF!</definedName>
    <definedName name="PAIII_" hidden="1">{"'Sheet1'!$L$16"}</definedName>
    <definedName name="panen">#REF!</definedName>
    <definedName name="PLKL">#REF!</definedName>
    <definedName name="PMS" hidden="1">{"'Sheet1'!$L$16"}</definedName>
    <definedName name="PRICE">#REF!</definedName>
    <definedName name="PRICE1">#REF!</definedName>
    <definedName name="_xlnm.Print_Area" localSheetId="0">'Du kien VonNSDP 2020'!$A$1:$BF$331</definedName>
    <definedName name="_xlnm.Print_Titles" localSheetId="0">'Du kien VonNSDP 2020'!$6:$13</definedName>
    <definedName name="_xlnm.Print_Titles">#N/A</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PHAN_DIEN_DZ0.4KV">#REF!</definedName>
    <definedName name="PHAN_DIEN_TBA">#REF!</definedName>
    <definedName name="PHAN_MUA_SAM_DZ0.4KV">#REF!</definedName>
    <definedName name="phu_luc_vua">#REF!</definedName>
    <definedName name="qtdm">#REF!</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hidden="1">#REF!</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#REF!</definedName>
    <definedName name="sand">#REF!</definedName>
    <definedName name="SCH">#REF!</definedName>
    <definedName name="sd1p">#REF!</definedName>
    <definedName name="sd3p">#REF!</definedName>
    <definedName name="SDMONG">#REF!</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panner_Auto_File">"C:\My Documents\tinh cdo.x2a"</definedName>
    <definedName name="SPEC">#REF!</definedName>
    <definedName name="SpecialPrice" hidden="1">#REF!</definedName>
    <definedName name="SPECSUMMARY">#REF!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ng">100</definedName>
    <definedName name="TaxTV">10%</definedName>
    <definedName name="TaxXL">5%</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mai">#REF!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thep">#REF!</definedName>
    <definedName name="tongthetich">#REF!</definedName>
    <definedName name="TPLRP">#REF!</definedName>
    <definedName name="TT_1P">#REF!</definedName>
    <definedName name="TT_3p">#REF!</definedName>
    <definedName name="TTDD1P">#REF!</definedName>
    <definedName name="TTDKKH">#REF!</definedName>
    <definedName name="ttttt" hidden="1">{"'Sheet1'!$L$16"}</definedName>
    <definedName name="TTTTTTTTT" hidden="1">{"'Sheet1'!$L$16"}</definedName>
    <definedName name="ttttttttttt" hidden="1">{"'Sheet1'!$L$16"}</definedName>
    <definedName name="tthi">#REF!</definedName>
    <definedName name="ttronmk">#REF!</definedName>
    <definedName name="tuyennhanh" hidden="1">{"'Sheet1'!$L$16"}</definedName>
    <definedName name="tv75nc">#REF!</definedName>
    <definedName name="tv75vl">#REF!</definedName>
    <definedName name="ty_le">#REF!</definedName>
    <definedName name="ty_le_BTN">#REF!</definedName>
    <definedName name="Ty_le1">#REF!</definedName>
    <definedName name="tha" hidden="1">{"'Sheet1'!$L$16"}</definedName>
    <definedName name="thang">#REF!</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e">6</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t">#REF!</definedName>
    <definedName name="u" hidden="1">{"'Sheet1'!$L$16"}</definedName>
    <definedName name="upnoc">#REF!</definedName>
    <definedName name="uu">#REF!</definedName>
    <definedName name="ư" hidden="1">{"'Sheet1'!$L$16"}</definedName>
    <definedName name="v" hidden="1">{"'Sheet1'!$L$16"}</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btchongnuocm300">#REF!</definedName>
    <definedName name="vbtm150">#REF!</definedName>
    <definedName name="vbtm300">#REF!</definedName>
    <definedName name="vbtm400">#REF!</definedName>
    <definedName name="vccot">#REF!</definedName>
    <definedName name="vcdc">#REF!</definedName>
    <definedName name="vcoto" hidden="1">{"'Sheet1'!$L$16"}</definedName>
    <definedName name="vct">#REF!</definedName>
    <definedName name="VCTT">#REF!</definedName>
    <definedName name="VCVBT1">#REF!</definedName>
    <definedName name="VCVBT2">#REF!</definedName>
    <definedName name="VCHT">#REF!</definedName>
    <definedName name="vd3p">#REF!</definedName>
    <definedName name="vgk">#REF!</definedName>
    <definedName name="vgt">#REF!</definedName>
    <definedName name="Viet" hidden="1">{"'Sheet1'!$L$16"}</definedName>
    <definedName name="vkcauthang">#REF!</definedName>
    <definedName name="vksan">#REF!</definedName>
    <definedName name="vl">#REF!</definedName>
    <definedName name="vl3p">#REF!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n.aaa." hidden="1">{#N/A,#N/A,FALSE,"Sheet1";#N/A,#N/A,FALSE,"Sheet1";#N/A,#N/A,FALSE,"Sheet1"}</definedName>
    <definedName name="wrn.Bang._.ke._.nhan._.hang." hidden="1">{#N/A,#N/A,FALSE,"Ke khai NH"}</definedName>
    <definedName name="wrn.cong." hidden="1">{#N/A,#N/A,FALSE,"Sheet1"}</definedName>
    <definedName name="wrn.Che._.do._.duoc._.huong." hidden="1">{#N/A,#N/A,FALSE,"BN (2)"}</definedName>
    <definedName name="wrn.chi._.tiÆt." hidden="1">{#N/A,#N/A,FALSE,"Chi tiÆt"}</definedName>
    <definedName name="wrn.Giáy._.bao._.no." hidden="1">{#N/A,#N/A,FALSE,"BN"}</definedName>
    <definedName name="wrn.vd." hidden="1">{#N/A,#N/A,TRUE,"BT M200 da 10x20"}</definedName>
    <definedName name="x1pind">#REF!</definedName>
    <definedName name="X1pINDnc">#REF!</definedName>
    <definedName name="X1pINDvc">#REF!</definedName>
    <definedName name="X1pINDvl">#REF!</definedName>
    <definedName name="x1pint">#REF!</definedName>
    <definedName name="x1ping">#REF!</definedName>
    <definedName name="X1pINGnc">#REF!</definedName>
    <definedName name="X1pINGvc">#REF!</definedName>
    <definedName name="X1pINGvl">#REF!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nc">#REF!</definedName>
    <definedName name="xint1p">#REF!</definedName>
    <definedName name="XINvc">#REF!</definedName>
    <definedName name="XINvl">#REF!</definedName>
    <definedName name="xing1p">#REF!</definedName>
    <definedName name="xingnc1p">#REF!</definedName>
    <definedName name="xingvl1p">#REF!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hidden="1">{"'Sheet1'!$L$16"}</definedName>
    <definedName name="xlttbninh" hidden="1">{"'Sheet1'!$L$16"}</definedName>
    <definedName name="XM">#REF!</definedName>
    <definedName name="xmcax">#REF!</definedName>
    <definedName name="xn">#REF!</definedName>
    <definedName name="XTKKTTC">7500</definedName>
    <definedName name="xx">#REF!</definedName>
    <definedName name="y">#REF!</definedName>
    <definedName name="z">#REF!</definedName>
    <definedName name="ZXD">#REF!</definedName>
    <definedName name="ZYX">#REF!</definedName>
    <definedName name="ZZZ">#REF!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269" i="1" l="1"/>
  <c r="AZ269" i="1" s="1"/>
  <c r="S269" i="1"/>
  <c r="BB248" i="1" l="1"/>
  <c r="BB149" i="1"/>
  <c r="BA331" i="1" l="1"/>
  <c r="AM331" i="1"/>
  <c r="BA330" i="1"/>
  <c r="AT330" i="1"/>
  <c r="BA329" i="1"/>
  <c r="AT329" i="1"/>
  <c r="BA328" i="1"/>
  <c r="AT328" i="1"/>
  <c r="AM328" i="1"/>
  <c r="AI328" i="1" s="1"/>
  <c r="AL328" i="1"/>
  <c r="AK328" i="1"/>
  <c r="AJ328" i="1"/>
  <c r="AF328" i="1"/>
  <c r="AE328" i="1"/>
  <c r="Q328" i="1"/>
  <c r="P328" i="1"/>
  <c r="BA327" i="1"/>
  <c r="AT327" i="1"/>
  <c r="AM327" i="1"/>
  <c r="AI327" i="1" s="1"/>
  <c r="AL327" i="1"/>
  <c r="AK327" i="1"/>
  <c r="AJ327" i="1"/>
  <c r="AF327" i="1"/>
  <c r="AE327" i="1"/>
  <c r="Q327" i="1"/>
  <c r="P327" i="1"/>
  <c r="BA326" i="1"/>
  <c r="AT326" i="1"/>
  <c r="AM326" i="1"/>
  <c r="AI326" i="1" s="1"/>
  <c r="AL326" i="1"/>
  <c r="AK326" i="1"/>
  <c r="AJ326" i="1"/>
  <c r="AF326" i="1"/>
  <c r="AE326" i="1"/>
  <c r="Q326" i="1"/>
  <c r="P326" i="1"/>
  <c r="BB325" i="1"/>
  <c r="BA325" i="1" s="1"/>
  <c r="AU325" i="1"/>
  <c r="AP325" i="1"/>
  <c r="AO325" i="1"/>
  <c r="AN325" i="1"/>
  <c r="AH325" i="1"/>
  <c r="AG325" i="1"/>
  <c r="AD325" i="1"/>
  <c r="AC325" i="1"/>
  <c r="AB325" i="1"/>
  <c r="AA325" i="1"/>
  <c r="Q325" i="1"/>
  <c r="P325" i="1"/>
  <c r="AY324" i="1"/>
  <c r="AY322" i="1" s="1"/>
  <c r="S324" i="1"/>
  <c r="R324" i="1" s="1"/>
  <c r="R322" i="1" s="1"/>
  <c r="AZ322" i="1"/>
  <c r="AX322" i="1"/>
  <c r="AW322" i="1"/>
  <c r="AV322" i="1"/>
  <c r="AU322" i="1"/>
  <c r="AT322" i="1"/>
  <c r="AS322" i="1"/>
  <c r="AR322" i="1"/>
  <c r="AQ322" i="1"/>
  <c r="AP322" i="1"/>
  <c r="AO322" i="1"/>
  <c r="AN322" i="1"/>
  <c r="AM322" i="1"/>
  <c r="AL322" i="1"/>
  <c r="AK322" i="1"/>
  <c r="AJ322" i="1"/>
  <c r="AI322" i="1"/>
  <c r="AH322" i="1"/>
  <c r="AG322" i="1"/>
  <c r="AF322" i="1"/>
  <c r="AE322" i="1"/>
  <c r="AD322" i="1"/>
  <c r="AC322" i="1"/>
  <c r="AB322" i="1"/>
  <c r="AA322" i="1"/>
  <c r="Z322" i="1"/>
  <c r="Y322" i="1"/>
  <c r="X322" i="1"/>
  <c r="W322" i="1"/>
  <c r="V322" i="1"/>
  <c r="U322" i="1"/>
  <c r="T322" i="1"/>
  <c r="Q322" i="1"/>
  <c r="P322" i="1"/>
  <c r="O322" i="1"/>
  <c r="N322" i="1"/>
  <c r="M322" i="1"/>
  <c r="L322" i="1"/>
  <c r="K322" i="1"/>
  <c r="J322" i="1"/>
  <c r="BB321" i="1"/>
  <c r="BA321" i="1" s="1"/>
  <c r="AY321" i="1"/>
  <c r="R321" i="1"/>
  <c r="BB320" i="1"/>
  <c r="BA320" i="1" s="1"/>
  <c r="AY320" i="1"/>
  <c r="R320" i="1"/>
  <c r="AZ318" i="1"/>
  <c r="AX318" i="1"/>
  <c r="AW318" i="1"/>
  <c r="AV318" i="1"/>
  <c r="AU318" i="1"/>
  <c r="AT318" i="1"/>
  <c r="AS318" i="1"/>
  <c r="AR318" i="1"/>
  <c r="AQ318" i="1"/>
  <c r="AP318" i="1"/>
  <c r="AO318" i="1"/>
  <c r="AN318" i="1"/>
  <c r="AM318" i="1"/>
  <c r="AL318" i="1"/>
  <c r="AK318" i="1"/>
  <c r="AJ318" i="1"/>
  <c r="AI318" i="1"/>
  <c r="AH318" i="1"/>
  <c r="AG318" i="1"/>
  <c r="AF318" i="1"/>
  <c r="AE318" i="1"/>
  <c r="AD318" i="1"/>
  <c r="AC318" i="1"/>
  <c r="AB318" i="1"/>
  <c r="AA318" i="1"/>
  <c r="Z318" i="1"/>
  <c r="Y318" i="1"/>
  <c r="X318" i="1"/>
  <c r="W318" i="1"/>
  <c r="V318" i="1"/>
  <c r="U318" i="1"/>
  <c r="T318" i="1"/>
  <c r="S318" i="1"/>
  <c r="Q318" i="1"/>
  <c r="P318" i="1"/>
  <c r="O318" i="1"/>
  <c r="N318" i="1"/>
  <c r="M318" i="1"/>
  <c r="L318" i="1"/>
  <c r="K318" i="1"/>
  <c r="J318" i="1"/>
  <c r="BB317" i="1"/>
  <c r="AY317" i="1"/>
  <c r="AY315" i="1" s="1"/>
  <c r="R317" i="1"/>
  <c r="R315" i="1" s="1"/>
  <c r="AZ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Q315" i="1"/>
  <c r="P315" i="1"/>
  <c r="O315" i="1"/>
  <c r="N315" i="1"/>
  <c r="M315" i="1"/>
  <c r="L315" i="1"/>
  <c r="K315" i="1"/>
  <c r="J315" i="1"/>
  <c r="AY314" i="1"/>
  <c r="S314" i="1"/>
  <c r="R314" i="1" s="1"/>
  <c r="BB313" i="1"/>
  <c r="BA313" i="1" s="1"/>
  <c r="AY313" i="1"/>
  <c r="R313" i="1"/>
  <c r="BB312" i="1"/>
  <c r="AY312" i="1"/>
  <c r="R312" i="1"/>
  <c r="BB311" i="1"/>
  <c r="BA311" i="1" s="1"/>
  <c r="AY311" i="1"/>
  <c r="R311" i="1"/>
  <c r="BA309" i="1"/>
  <c r="AZ309" i="1"/>
  <c r="AZ307" i="1" s="1"/>
  <c r="R309" i="1"/>
  <c r="AW307" i="1"/>
  <c r="AV307" i="1"/>
  <c r="AU307" i="1"/>
  <c r="AT307" i="1"/>
  <c r="AS307" i="1"/>
  <c r="AR307" i="1"/>
  <c r="AQ307" i="1"/>
  <c r="AP307" i="1"/>
  <c r="AO307" i="1"/>
  <c r="AN307" i="1"/>
  <c r="AM307" i="1"/>
  <c r="AL307" i="1"/>
  <c r="AK307" i="1"/>
  <c r="AJ307" i="1"/>
  <c r="AI307" i="1"/>
  <c r="AH307" i="1"/>
  <c r="AG307" i="1"/>
  <c r="AF307" i="1"/>
  <c r="AE307" i="1"/>
  <c r="AD307" i="1"/>
  <c r="AC307" i="1"/>
  <c r="AB307" i="1"/>
  <c r="AA307" i="1"/>
  <c r="Z307" i="1"/>
  <c r="Y307" i="1"/>
  <c r="X307" i="1"/>
  <c r="W307" i="1"/>
  <c r="V307" i="1"/>
  <c r="U307" i="1"/>
  <c r="T307" i="1"/>
  <c r="Q307" i="1"/>
  <c r="P307" i="1"/>
  <c r="O307" i="1"/>
  <c r="N307" i="1"/>
  <c r="M307" i="1"/>
  <c r="L307" i="1"/>
  <c r="K307" i="1"/>
  <c r="J307" i="1"/>
  <c r="BA304" i="1"/>
  <c r="R304" i="1"/>
  <c r="J304" i="1"/>
  <c r="BA303" i="1"/>
  <c r="R303" i="1"/>
  <c r="J303" i="1"/>
  <c r="J302" i="1" s="1"/>
  <c r="BD302" i="1"/>
  <c r="BC302" i="1"/>
  <c r="BB302" i="1"/>
  <c r="AZ302" i="1"/>
  <c r="AY302" i="1"/>
  <c r="AX302" i="1"/>
  <c r="AW302" i="1"/>
  <c r="AV302" i="1"/>
  <c r="AU302" i="1"/>
  <c r="AT302" i="1"/>
  <c r="AS302" i="1"/>
  <c r="AR302" i="1"/>
  <c r="AQ302" i="1"/>
  <c r="AP302" i="1"/>
  <c r="AO302" i="1"/>
  <c r="AN302" i="1"/>
  <c r="AM302" i="1"/>
  <c r="AL302" i="1"/>
  <c r="AK302" i="1"/>
  <c r="AJ302" i="1"/>
  <c r="AI302" i="1"/>
  <c r="AH302" i="1"/>
  <c r="AG302" i="1"/>
  <c r="AF302" i="1"/>
  <c r="AE302" i="1"/>
  <c r="AD302" i="1"/>
  <c r="AC302" i="1"/>
  <c r="AB302" i="1"/>
  <c r="AA302" i="1"/>
  <c r="Z302" i="1"/>
  <c r="Y302" i="1"/>
  <c r="X302" i="1"/>
  <c r="W302" i="1"/>
  <c r="V302" i="1"/>
  <c r="U302" i="1"/>
  <c r="T302" i="1"/>
  <c r="S302" i="1"/>
  <c r="Q302" i="1"/>
  <c r="P302" i="1"/>
  <c r="O302" i="1"/>
  <c r="N302" i="1"/>
  <c r="M302" i="1"/>
  <c r="L302" i="1"/>
  <c r="K302" i="1"/>
  <c r="BB301" i="1"/>
  <c r="BA301" i="1" s="1"/>
  <c r="BA300" i="1" s="1"/>
  <c r="BD300" i="1"/>
  <c r="BC300" i="1"/>
  <c r="AZ300" i="1"/>
  <c r="AY300" i="1"/>
  <c r="AX300" i="1"/>
  <c r="AW300" i="1"/>
  <c r="AV300" i="1"/>
  <c r="AU300" i="1"/>
  <c r="AT300" i="1"/>
  <c r="AS300" i="1"/>
  <c r="AR300" i="1"/>
  <c r="AQ300" i="1"/>
  <c r="AP300" i="1"/>
  <c r="AO300" i="1"/>
  <c r="AN300" i="1"/>
  <c r="AM300" i="1"/>
  <c r="AL300" i="1"/>
  <c r="AK300" i="1"/>
  <c r="AJ300" i="1"/>
  <c r="AI300" i="1"/>
  <c r="AH300" i="1"/>
  <c r="AG300" i="1"/>
  <c r="AF300" i="1"/>
  <c r="AE300" i="1"/>
  <c r="AD300" i="1"/>
  <c r="AC300" i="1"/>
  <c r="AB300" i="1"/>
  <c r="AA300" i="1"/>
  <c r="Z300" i="1"/>
  <c r="Y300" i="1"/>
  <c r="X300" i="1"/>
  <c r="W300" i="1"/>
  <c r="V300" i="1"/>
  <c r="U300" i="1"/>
  <c r="T300" i="1"/>
  <c r="S300" i="1"/>
  <c r="R300" i="1"/>
  <c r="BA299" i="1"/>
  <c r="BA298" i="1" s="1"/>
  <c r="R299" i="1"/>
  <c r="R298" i="1" s="1"/>
  <c r="J299" i="1"/>
  <c r="J298" i="1" s="1"/>
  <c r="BD298" i="1"/>
  <c r="BC298" i="1"/>
  <c r="BB298" i="1"/>
  <c r="AZ298" i="1"/>
  <c r="AY298" i="1"/>
  <c r="AX298" i="1"/>
  <c r="AW298" i="1"/>
  <c r="AV298" i="1"/>
  <c r="AU298" i="1"/>
  <c r="AT298" i="1"/>
  <c r="AS298" i="1"/>
  <c r="AR298" i="1"/>
  <c r="AQ298" i="1"/>
  <c r="AP298" i="1"/>
  <c r="AO298" i="1"/>
  <c r="AN298" i="1"/>
  <c r="AM298" i="1"/>
  <c r="AL298" i="1"/>
  <c r="AK298" i="1"/>
  <c r="AJ298" i="1"/>
  <c r="AI298" i="1"/>
  <c r="AH298" i="1"/>
  <c r="AG298" i="1"/>
  <c r="AF298" i="1"/>
  <c r="AE298" i="1"/>
  <c r="AD298" i="1"/>
  <c r="AC298" i="1"/>
  <c r="AB298" i="1"/>
  <c r="AA298" i="1"/>
  <c r="Z298" i="1"/>
  <c r="Y298" i="1"/>
  <c r="X298" i="1"/>
  <c r="W298" i="1"/>
  <c r="V298" i="1"/>
  <c r="U298" i="1"/>
  <c r="T298" i="1"/>
  <c r="S298" i="1"/>
  <c r="K298" i="1"/>
  <c r="BA297" i="1"/>
  <c r="S297" i="1"/>
  <c r="R297" i="1" s="1"/>
  <c r="J297" i="1"/>
  <c r="BB296" i="1"/>
  <c r="BA296" i="1" s="1"/>
  <c r="R296" i="1"/>
  <c r="J296" i="1"/>
  <c r="BB295" i="1"/>
  <c r="BA295" i="1" s="1"/>
  <c r="R295" i="1"/>
  <c r="J295" i="1"/>
  <c r="BB294" i="1"/>
  <c r="BA294" i="1" s="1"/>
  <c r="R294" i="1"/>
  <c r="R293" i="1"/>
  <c r="K293" i="1"/>
  <c r="K289" i="1" s="1"/>
  <c r="AT292" i="1"/>
  <c r="AS292" i="1"/>
  <c r="AZ292" i="1" s="1"/>
  <c r="BB292" i="1" s="1"/>
  <c r="BA292" i="1" s="1"/>
  <c r="AQ292" i="1"/>
  <c r="AX292" i="1" s="1"/>
  <c r="AM292" i="1"/>
  <c r="AR292" i="1" s="1"/>
  <c r="R292" i="1"/>
  <c r="AT291" i="1"/>
  <c r="AS291" i="1"/>
  <c r="AZ291" i="1" s="1"/>
  <c r="AY291" i="1" s="1"/>
  <c r="AQ291" i="1"/>
  <c r="AM291" i="1"/>
  <c r="AR291" i="1" s="1"/>
  <c r="AJ291" i="1"/>
  <c r="S291" i="1"/>
  <c r="BA290" i="1"/>
  <c r="AT290" i="1"/>
  <c r="AQ290" i="1"/>
  <c r="AX290" i="1" s="1"/>
  <c r="AM290" i="1"/>
  <c r="AI290" i="1" s="1"/>
  <c r="AI289" i="1" s="1"/>
  <c r="AL290" i="1"/>
  <c r="AL289" i="1" s="1"/>
  <c r="AK290" i="1"/>
  <c r="AK289" i="1" s="1"/>
  <c r="AJ290" i="1"/>
  <c r="AJ289" i="1" s="1"/>
  <c r="AE290" i="1"/>
  <c r="AE289" i="1" s="1"/>
  <c r="AB290" i="1"/>
  <c r="AF290" i="1" s="1"/>
  <c r="Q290" i="1"/>
  <c r="Q289" i="1" s="1"/>
  <c r="P290" i="1"/>
  <c r="P289" i="1" s="1"/>
  <c r="BD289" i="1"/>
  <c r="BC289" i="1"/>
  <c r="AW289" i="1"/>
  <c r="AV289" i="1"/>
  <c r="AU289" i="1"/>
  <c r="AP289" i="1"/>
  <c r="AO289" i="1"/>
  <c r="AN289" i="1"/>
  <c r="AH289" i="1"/>
  <c r="AG289" i="1"/>
  <c r="AD289" i="1"/>
  <c r="AC289" i="1"/>
  <c r="AA289" i="1"/>
  <c r="Z289" i="1"/>
  <c r="Y289" i="1"/>
  <c r="X289" i="1"/>
  <c r="W289" i="1"/>
  <c r="V289" i="1"/>
  <c r="U289" i="1"/>
  <c r="T289" i="1"/>
  <c r="O289" i="1"/>
  <c r="N289" i="1"/>
  <c r="M289" i="1"/>
  <c r="L289" i="1"/>
  <c r="BA288" i="1"/>
  <c r="R288" i="1"/>
  <c r="BA287" i="1"/>
  <c r="R287" i="1"/>
  <c r="BA286" i="1"/>
  <c r="R286" i="1"/>
  <c r="BA285" i="1"/>
  <c r="R285" i="1"/>
  <c r="BD284" i="1"/>
  <c r="BD283" i="1" s="1"/>
  <c r="BD282" i="1" s="1"/>
  <c r="BC284" i="1"/>
  <c r="BC283" i="1" s="1"/>
  <c r="BC282" i="1" s="1"/>
  <c r="BB284" i="1"/>
  <c r="BB283" i="1" s="1"/>
  <c r="BB282" i="1" s="1"/>
  <c r="AZ284" i="1"/>
  <c r="AZ283" i="1" s="1"/>
  <c r="AZ282" i="1" s="1"/>
  <c r="AY284" i="1"/>
  <c r="AY283" i="1" s="1"/>
  <c r="AY282" i="1" s="1"/>
  <c r="AX284" i="1"/>
  <c r="AX283" i="1" s="1"/>
  <c r="AX282" i="1" s="1"/>
  <c r="AW284" i="1"/>
  <c r="AW283" i="1" s="1"/>
  <c r="AW282" i="1" s="1"/>
  <c r="AV284" i="1"/>
  <c r="AV283" i="1" s="1"/>
  <c r="AV282" i="1" s="1"/>
  <c r="AU284" i="1"/>
  <c r="AU283" i="1" s="1"/>
  <c r="AU282" i="1" s="1"/>
  <c r="AT284" i="1"/>
  <c r="AT283" i="1" s="1"/>
  <c r="AT282" i="1" s="1"/>
  <c r="AS284" i="1"/>
  <c r="AS283" i="1" s="1"/>
  <c r="AS282" i="1" s="1"/>
  <c r="AR284" i="1"/>
  <c r="AR283" i="1" s="1"/>
  <c r="AR282" i="1" s="1"/>
  <c r="AQ284" i="1"/>
  <c r="AQ283" i="1" s="1"/>
  <c r="AQ282" i="1" s="1"/>
  <c r="AP284" i="1"/>
  <c r="AO284" i="1"/>
  <c r="AO283" i="1" s="1"/>
  <c r="AO282" i="1" s="1"/>
  <c r="AN284" i="1"/>
  <c r="AN283" i="1" s="1"/>
  <c r="AN282" i="1" s="1"/>
  <c r="AM284" i="1"/>
  <c r="AM283" i="1" s="1"/>
  <c r="AM282" i="1" s="1"/>
  <c r="AL284" i="1"/>
  <c r="AL283" i="1" s="1"/>
  <c r="AL282" i="1" s="1"/>
  <c r="AK284" i="1"/>
  <c r="AK283" i="1" s="1"/>
  <c r="AK282" i="1" s="1"/>
  <c r="AJ284" i="1"/>
  <c r="AJ283" i="1" s="1"/>
  <c r="AJ282" i="1" s="1"/>
  <c r="AI284" i="1"/>
  <c r="AI283" i="1" s="1"/>
  <c r="AI282" i="1" s="1"/>
  <c r="AH284" i="1"/>
  <c r="AH283" i="1" s="1"/>
  <c r="AH282" i="1" s="1"/>
  <c r="AG284" i="1"/>
  <c r="AG283" i="1" s="1"/>
  <c r="AG282" i="1" s="1"/>
  <c r="AF284" i="1"/>
  <c r="AF283" i="1" s="1"/>
  <c r="AF282" i="1" s="1"/>
  <c r="AE284" i="1"/>
  <c r="AE283" i="1" s="1"/>
  <c r="AE282" i="1" s="1"/>
  <c r="AD284" i="1"/>
  <c r="AD283" i="1" s="1"/>
  <c r="AD282" i="1" s="1"/>
  <c r="AC284" i="1"/>
  <c r="AC283" i="1" s="1"/>
  <c r="AC282" i="1" s="1"/>
  <c r="AB284" i="1"/>
  <c r="AB283" i="1" s="1"/>
  <c r="AB282" i="1" s="1"/>
  <c r="AA284" i="1"/>
  <c r="AA283" i="1" s="1"/>
  <c r="AA282" i="1" s="1"/>
  <c r="Z284" i="1"/>
  <c r="Z283" i="1" s="1"/>
  <c r="Z282" i="1" s="1"/>
  <c r="Y284" i="1"/>
  <c r="Y283" i="1" s="1"/>
  <c r="Y282" i="1" s="1"/>
  <c r="X284" i="1"/>
  <c r="X283" i="1" s="1"/>
  <c r="X282" i="1" s="1"/>
  <c r="W284" i="1"/>
  <c r="W283" i="1" s="1"/>
  <c r="W282" i="1" s="1"/>
  <c r="V284" i="1"/>
  <c r="V283" i="1" s="1"/>
  <c r="V282" i="1" s="1"/>
  <c r="U284" i="1"/>
  <c r="U283" i="1" s="1"/>
  <c r="U282" i="1" s="1"/>
  <c r="T284" i="1"/>
  <c r="T283" i="1" s="1"/>
  <c r="T282" i="1" s="1"/>
  <c r="S284" i="1"/>
  <c r="S283" i="1" s="1"/>
  <c r="S282" i="1" s="1"/>
  <c r="AP283" i="1"/>
  <c r="AP282" i="1" s="1"/>
  <c r="Q283" i="1"/>
  <c r="Q282" i="1" s="1"/>
  <c r="P283" i="1"/>
  <c r="P282" i="1" s="1"/>
  <c r="O283" i="1"/>
  <c r="O282" i="1" s="1"/>
  <c r="N283" i="1"/>
  <c r="N282" i="1" s="1"/>
  <c r="M283" i="1"/>
  <c r="M282" i="1" s="1"/>
  <c r="L283" i="1"/>
  <c r="L282" i="1" s="1"/>
  <c r="BA280" i="1"/>
  <c r="R280" i="1"/>
  <c r="BA279" i="1"/>
  <c r="R279" i="1"/>
  <c r="BB278" i="1"/>
  <c r="AZ278" i="1"/>
  <c r="AY278" i="1"/>
  <c r="AX278" i="1"/>
  <c r="AW278" i="1"/>
  <c r="AV278" i="1"/>
  <c r="AU278" i="1"/>
  <c r="AT278" i="1"/>
  <c r="AS278" i="1"/>
  <c r="AR278" i="1"/>
  <c r="AQ278" i="1"/>
  <c r="AP278" i="1"/>
  <c r="AO278" i="1"/>
  <c r="AN278" i="1"/>
  <c r="AM278" i="1"/>
  <c r="AL278" i="1"/>
  <c r="AK278" i="1"/>
  <c r="AJ278" i="1"/>
  <c r="AI278" i="1"/>
  <c r="AH278" i="1"/>
  <c r="AG278" i="1"/>
  <c r="AF278" i="1"/>
  <c r="AE278" i="1"/>
  <c r="AD278" i="1"/>
  <c r="AC278" i="1"/>
  <c r="AB278" i="1"/>
  <c r="AA278" i="1"/>
  <c r="Z278" i="1"/>
  <c r="Y278" i="1"/>
  <c r="X278" i="1"/>
  <c r="W278" i="1"/>
  <c r="V278" i="1"/>
  <c r="U278" i="1"/>
  <c r="T278" i="1"/>
  <c r="S278" i="1"/>
  <c r="Q278" i="1"/>
  <c r="P278" i="1"/>
  <c r="O278" i="1"/>
  <c r="N278" i="1"/>
  <c r="M278" i="1"/>
  <c r="L278" i="1"/>
  <c r="K278" i="1"/>
  <c r="J278" i="1"/>
  <c r="BA277" i="1"/>
  <c r="R277" i="1"/>
  <c r="J277" i="1"/>
  <c r="BB276" i="1"/>
  <c r="BA276" i="1" s="1"/>
  <c r="R276" i="1"/>
  <c r="BA275" i="1"/>
  <c r="AY275" i="1"/>
  <c r="AT275" i="1"/>
  <c r="R275" i="1"/>
  <c r="J275" i="1"/>
  <c r="BB274" i="1"/>
  <c r="BA274" i="1" s="1"/>
  <c r="R274" i="1"/>
  <c r="J274" i="1"/>
  <c r="BB273" i="1"/>
  <c r="BA273" i="1" s="1"/>
  <c r="R273" i="1"/>
  <c r="J273" i="1"/>
  <c r="AZ272" i="1"/>
  <c r="AX272" i="1"/>
  <c r="AT272" i="1"/>
  <c r="J272" i="1"/>
  <c r="BA271" i="1"/>
  <c r="R271" i="1"/>
  <c r="AT270" i="1"/>
  <c r="AR270" i="1"/>
  <c r="AQ270" i="1" s="1"/>
  <c r="AZ270" i="1" s="1"/>
  <c r="AY270" i="1" s="1"/>
  <c r="R270" i="1"/>
  <c r="BA269" i="1"/>
  <c r="AY269" i="1"/>
  <c r="AT269" i="1"/>
  <c r="AR269" i="1"/>
  <c r="AQ269" i="1" s="1"/>
  <c r="R269" i="1"/>
  <c r="K269" i="1"/>
  <c r="K266" i="1" s="1"/>
  <c r="K265" i="1" s="1"/>
  <c r="AZ268" i="1"/>
  <c r="BB268" i="1" s="1"/>
  <c r="BA268" i="1" s="1"/>
  <c r="AX268" i="1"/>
  <c r="AT268" i="1"/>
  <c r="R268" i="1"/>
  <c r="BF267" i="1"/>
  <c r="AZ267" i="1"/>
  <c r="AY267" i="1" s="1"/>
  <c r="AX267" i="1"/>
  <c r="AT267" i="1"/>
  <c r="AR267" i="1"/>
  <c r="AM267" i="1"/>
  <c r="AM266" i="1" s="1"/>
  <c r="AM265" i="1" s="1"/>
  <c r="R267" i="1"/>
  <c r="J267" i="1"/>
  <c r="BD266" i="1"/>
  <c r="BD265" i="1" s="1"/>
  <c r="BC266" i="1"/>
  <c r="BC265" i="1" s="1"/>
  <c r="AW266" i="1"/>
  <c r="AW265" i="1" s="1"/>
  <c r="AV266" i="1"/>
  <c r="AV265" i="1" s="1"/>
  <c r="AU266" i="1"/>
  <c r="AU265" i="1" s="1"/>
  <c r="AS266" i="1"/>
  <c r="AS265" i="1" s="1"/>
  <c r="AP266" i="1"/>
  <c r="AP265" i="1" s="1"/>
  <c r="AO266" i="1"/>
  <c r="AO265" i="1" s="1"/>
  <c r="AN266" i="1"/>
  <c r="AN265" i="1" s="1"/>
  <c r="AL266" i="1"/>
  <c r="AL265" i="1" s="1"/>
  <c r="AK266" i="1"/>
  <c r="AK265" i="1" s="1"/>
  <c r="AJ266" i="1"/>
  <c r="AJ265" i="1" s="1"/>
  <c r="AI266" i="1"/>
  <c r="AI265" i="1" s="1"/>
  <c r="AH266" i="1"/>
  <c r="AG266" i="1"/>
  <c r="AF266" i="1"/>
  <c r="AF265" i="1" s="1"/>
  <c r="AE266" i="1"/>
  <c r="AE265" i="1" s="1"/>
  <c r="AD266" i="1"/>
  <c r="AD265" i="1" s="1"/>
  <c r="AC266" i="1"/>
  <c r="AC265" i="1" s="1"/>
  <c r="AB266" i="1"/>
  <c r="AB265" i="1" s="1"/>
  <c r="AA266" i="1"/>
  <c r="AA265" i="1" s="1"/>
  <c r="Z266" i="1"/>
  <c r="Z265" i="1" s="1"/>
  <c r="Y266" i="1"/>
  <c r="Y265" i="1" s="1"/>
  <c r="X266" i="1"/>
  <c r="X265" i="1" s="1"/>
  <c r="W266" i="1"/>
  <c r="W265" i="1" s="1"/>
  <c r="V266" i="1"/>
  <c r="U266" i="1"/>
  <c r="U265" i="1" s="1"/>
  <c r="T266" i="1"/>
  <c r="T265" i="1" s="1"/>
  <c r="S266" i="1"/>
  <c r="S265" i="1" s="1"/>
  <c r="Q266" i="1"/>
  <c r="Q265" i="1" s="1"/>
  <c r="P266" i="1"/>
  <c r="P265" i="1" s="1"/>
  <c r="O266" i="1"/>
  <c r="O265" i="1" s="1"/>
  <c r="N266" i="1"/>
  <c r="N265" i="1" s="1"/>
  <c r="M266" i="1"/>
  <c r="M265" i="1" s="1"/>
  <c r="L266" i="1"/>
  <c r="L265" i="1" s="1"/>
  <c r="AZ264" i="1"/>
  <c r="BB264" i="1" s="1"/>
  <c r="BA264" i="1" s="1"/>
  <c r="AX264" i="1"/>
  <c r="AT264" i="1"/>
  <c r="R264" i="1"/>
  <c r="J264" i="1"/>
  <c r="BA263" i="1"/>
  <c r="AZ263" i="1"/>
  <c r="AY263" i="1" s="1"/>
  <c r="AX263" i="1"/>
  <c r="AT263" i="1"/>
  <c r="AR263" i="1"/>
  <c r="R263" i="1"/>
  <c r="J263" i="1"/>
  <c r="AZ262" i="1"/>
  <c r="BB262" i="1" s="1"/>
  <c r="BA262" i="1" s="1"/>
  <c r="AT262" i="1"/>
  <c r="AQ262" i="1"/>
  <c r="AX262" i="1" s="1"/>
  <c r="BA261" i="1"/>
  <c r="AZ261" i="1"/>
  <c r="AY261" i="1" s="1"/>
  <c r="AX261" i="1"/>
  <c r="AT261" i="1"/>
  <c r="AR261" i="1"/>
  <c r="R261" i="1"/>
  <c r="BF260" i="1"/>
  <c r="BA260" i="1"/>
  <c r="AY260" i="1"/>
  <c r="AX260" i="1"/>
  <c r="AT260" i="1"/>
  <c r="AS260" i="1"/>
  <c r="AM260" i="1"/>
  <c r="AR260" i="1" s="1"/>
  <c r="AQ260" i="1" s="1"/>
  <c r="R260" i="1"/>
  <c r="BF259" i="1"/>
  <c r="AT259" i="1"/>
  <c r="AS259" i="1"/>
  <c r="AZ259" i="1" s="1"/>
  <c r="AM259" i="1"/>
  <c r="AR259" i="1" s="1"/>
  <c r="R259" i="1"/>
  <c r="BF258" i="1"/>
  <c r="AT258" i="1"/>
  <c r="AM258" i="1"/>
  <c r="AK258" i="1"/>
  <c r="AJ258" i="1"/>
  <c r="AF258" i="1"/>
  <c r="AS258" i="1" s="1"/>
  <c r="AZ258" i="1" s="1"/>
  <c r="AE258" i="1"/>
  <c r="Q258" i="1"/>
  <c r="P258" i="1"/>
  <c r="BA257" i="1"/>
  <c r="AT257" i="1"/>
  <c r="AM257" i="1"/>
  <c r="AI257" i="1" s="1"/>
  <c r="AL257" i="1"/>
  <c r="AL256" i="1" s="1"/>
  <c r="AK257" i="1"/>
  <c r="AJ257" i="1"/>
  <c r="AF257" i="1"/>
  <c r="AE257" i="1"/>
  <c r="V257" i="1"/>
  <c r="S257" i="1"/>
  <c r="R257" i="1" s="1"/>
  <c r="Q257" i="1"/>
  <c r="P257" i="1"/>
  <c r="BD256" i="1"/>
  <c r="BC256" i="1"/>
  <c r="AW256" i="1"/>
  <c r="AV256" i="1"/>
  <c r="AU256" i="1"/>
  <c r="AP256" i="1"/>
  <c r="AO256" i="1"/>
  <c r="AN256" i="1"/>
  <c r="AH256" i="1"/>
  <c r="AG256" i="1"/>
  <c r="AD256" i="1"/>
  <c r="AC256" i="1"/>
  <c r="AB256" i="1"/>
  <c r="AA256" i="1"/>
  <c r="Z256" i="1"/>
  <c r="Y256" i="1"/>
  <c r="X256" i="1"/>
  <c r="W256" i="1"/>
  <c r="U256" i="1"/>
  <c r="T256" i="1"/>
  <c r="O256" i="1"/>
  <c r="N256" i="1"/>
  <c r="M256" i="1"/>
  <c r="L256" i="1"/>
  <c r="K256" i="1"/>
  <c r="BF255" i="1"/>
  <c r="BA255" i="1"/>
  <c r="AT255" i="1"/>
  <c r="AM255" i="1"/>
  <c r="AI255" i="1" s="1"/>
  <c r="AL255" i="1"/>
  <c r="AK255" i="1"/>
  <c r="AJ255" i="1"/>
  <c r="AF255" i="1"/>
  <c r="AS255" i="1" s="1"/>
  <c r="AZ255" i="1" s="1"/>
  <c r="AY255" i="1" s="1"/>
  <c r="AE255" i="1"/>
  <c r="V255" i="1"/>
  <c r="AQ255" i="1" s="1"/>
  <c r="AQ253" i="1" s="1"/>
  <c r="R255" i="1"/>
  <c r="R253" i="1" s="1"/>
  <c r="Q255" i="1"/>
  <c r="P255" i="1"/>
  <c r="BA254" i="1"/>
  <c r="AX254" i="1"/>
  <c r="AT254" i="1"/>
  <c r="AM254" i="1"/>
  <c r="AL254" i="1"/>
  <c r="AK254" i="1"/>
  <c r="AJ254" i="1"/>
  <c r="AF254" i="1"/>
  <c r="AE254" i="1"/>
  <c r="Q254" i="1"/>
  <c r="P254" i="1"/>
  <c r="BD253" i="1"/>
  <c r="BC253" i="1"/>
  <c r="BB253" i="1"/>
  <c r="AW253" i="1"/>
  <c r="AV253" i="1"/>
  <c r="AU253" i="1"/>
  <c r="AP253" i="1"/>
  <c r="AO253" i="1"/>
  <c r="AN253" i="1"/>
  <c r="AH253" i="1"/>
  <c r="AG253" i="1"/>
  <c r="AD253" i="1"/>
  <c r="AC253" i="1"/>
  <c r="AB253" i="1"/>
  <c r="AA253" i="1"/>
  <c r="Z253" i="1"/>
  <c r="Y253" i="1"/>
  <c r="X253" i="1"/>
  <c r="W253" i="1"/>
  <c r="U253" i="1"/>
  <c r="T253" i="1"/>
  <c r="S253" i="1"/>
  <c r="O253" i="1"/>
  <c r="N253" i="1"/>
  <c r="M253" i="1"/>
  <c r="L253" i="1"/>
  <c r="K253" i="1"/>
  <c r="J253" i="1"/>
  <c r="BA251" i="1"/>
  <c r="AR251" i="1"/>
  <c r="AQ251" i="1" s="1"/>
  <c r="R251" i="1"/>
  <c r="BA250" i="1"/>
  <c r="AZ250" i="1"/>
  <c r="AY250" i="1" s="1"/>
  <c r="AX250" i="1" s="1"/>
  <c r="R250" i="1"/>
  <c r="BA249" i="1"/>
  <c r="AT249" i="1"/>
  <c r="AT248" i="1" s="1"/>
  <c r="AQ249" i="1"/>
  <c r="AM249" i="1"/>
  <c r="AI249" i="1" s="1"/>
  <c r="AI248" i="1" s="1"/>
  <c r="AL249" i="1"/>
  <c r="AL248" i="1" s="1"/>
  <c r="AK249" i="1"/>
  <c r="AK248" i="1" s="1"/>
  <c r="AJ249" i="1"/>
  <c r="AJ248" i="1" s="1"/>
  <c r="AF249" i="1"/>
  <c r="AS249" i="1" s="1"/>
  <c r="AS248" i="1" s="1"/>
  <c r="AE249" i="1"/>
  <c r="AE248" i="1" s="1"/>
  <c r="R249" i="1"/>
  <c r="Q249" i="1"/>
  <c r="Q248" i="1" s="1"/>
  <c r="P249" i="1"/>
  <c r="P248" i="1" s="1"/>
  <c r="AW248" i="1"/>
  <c r="AV248" i="1"/>
  <c r="AU248" i="1"/>
  <c r="AP248" i="1"/>
  <c r="AO248" i="1"/>
  <c r="AN248" i="1"/>
  <c r="AH248" i="1"/>
  <c r="AG248" i="1"/>
  <c r="AD248" i="1"/>
  <c r="AC248" i="1"/>
  <c r="AB248" i="1"/>
  <c r="AA248" i="1"/>
  <c r="Z248" i="1"/>
  <c r="Y248" i="1"/>
  <c r="X248" i="1"/>
  <c r="W248" i="1"/>
  <c r="V248" i="1"/>
  <c r="U248" i="1"/>
  <c r="T248" i="1"/>
  <c r="S248" i="1"/>
  <c r="O248" i="1"/>
  <c r="N248" i="1"/>
  <c r="M248" i="1"/>
  <c r="L248" i="1"/>
  <c r="K248" i="1"/>
  <c r="J248" i="1"/>
  <c r="BA245" i="1"/>
  <c r="R245" i="1"/>
  <c r="J245" i="1"/>
  <c r="BA244" i="1"/>
  <c r="AY244" i="1"/>
  <c r="R244" i="1"/>
  <c r="J244" i="1"/>
  <c r="BB243" i="1"/>
  <c r="BA243" i="1" s="1"/>
  <c r="AT243" i="1"/>
  <c r="R243" i="1"/>
  <c r="J243" i="1"/>
  <c r="BA242" i="1"/>
  <c r="AT242" i="1"/>
  <c r="R242" i="1"/>
  <c r="J242" i="1"/>
  <c r="BA241" i="1"/>
  <c r="AX241" i="1"/>
  <c r="AT241" i="1"/>
  <c r="R241" i="1"/>
  <c r="AZ240" i="1"/>
  <c r="BB240" i="1" s="1"/>
  <c r="BA240" i="1" s="1"/>
  <c r="AX240" i="1"/>
  <c r="AT240" i="1"/>
  <c r="AR240" i="1"/>
  <c r="R240" i="1"/>
  <c r="AZ239" i="1"/>
  <c r="BB239" i="1" s="1"/>
  <c r="AX239" i="1"/>
  <c r="AT239" i="1"/>
  <c r="AR239" i="1"/>
  <c r="R239" i="1"/>
  <c r="AT238" i="1"/>
  <c r="R238" i="1"/>
  <c r="BD237" i="1"/>
  <c r="BD234" i="1" s="1"/>
  <c r="BC237" i="1"/>
  <c r="BC234" i="1" s="1"/>
  <c r="AW237" i="1"/>
  <c r="AW234" i="1" s="1"/>
  <c r="AV237" i="1"/>
  <c r="AV234" i="1" s="1"/>
  <c r="AU237" i="1"/>
  <c r="AU234" i="1" s="1"/>
  <c r="AS237" i="1"/>
  <c r="AS234" i="1" s="1"/>
  <c r="AQ237" i="1"/>
  <c r="AQ234" i="1" s="1"/>
  <c r="AP237" i="1"/>
  <c r="AP234" i="1" s="1"/>
  <c r="AO237" i="1"/>
  <c r="AO234" i="1" s="1"/>
  <c r="AN237" i="1"/>
  <c r="AN234" i="1" s="1"/>
  <c r="AO233" i="1" s="1"/>
  <c r="AM237" i="1"/>
  <c r="AM234" i="1" s="1"/>
  <c r="AL237" i="1"/>
  <c r="AL234" i="1" s="1"/>
  <c r="AK237" i="1"/>
  <c r="AK234" i="1" s="1"/>
  <c r="AJ237" i="1"/>
  <c r="AJ234" i="1" s="1"/>
  <c r="AI237" i="1"/>
  <c r="AI234" i="1" s="1"/>
  <c r="AH237" i="1"/>
  <c r="AH234" i="1" s="1"/>
  <c r="AG237" i="1"/>
  <c r="AG234" i="1" s="1"/>
  <c r="AF237" i="1"/>
  <c r="AF234" i="1" s="1"/>
  <c r="AE237" i="1"/>
  <c r="AE234" i="1" s="1"/>
  <c r="AD237" i="1"/>
  <c r="AD234" i="1" s="1"/>
  <c r="AC237" i="1"/>
  <c r="AC234" i="1" s="1"/>
  <c r="AB237" i="1"/>
  <c r="AB234" i="1" s="1"/>
  <c r="AA237" i="1"/>
  <c r="AA234" i="1" s="1"/>
  <c r="Z237" i="1"/>
  <c r="Z234" i="1" s="1"/>
  <c r="Y237" i="1"/>
  <c r="Y234" i="1" s="1"/>
  <c r="X237" i="1"/>
  <c r="X234" i="1" s="1"/>
  <c r="W237" i="1"/>
  <c r="W234" i="1" s="1"/>
  <c r="V237" i="1"/>
  <c r="V234" i="1" s="1"/>
  <c r="U237" i="1"/>
  <c r="U234" i="1" s="1"/>
  <c r="T237" i="1"/>
  <c r="T234" i="1" s="1"/>
  <c r="S237" i="1"/>
  <c r="S234" i="1" s="1"/>
  <c r="Q237" i="1"/>
  <c r="Q234" i="1" s="1"/>
  <c r="P237" i="1"/>
  <c r="P234" i="1" s="1"/>
  <c r="O237" i="1"/>
  <c r="O234" i="1" s="1"/>
  <c r="N237" i="1"/>
  <c r="N234" i="1" s="1"/>
  <c r="M237" i="1"/>
  <c r="M234" i="1" s="1"/>
  <c r="L237" i="1"/>
  <c r="L234" i="1" s="1"/>
  <c r="K237" i="1"/>
  <c r="K234" i="1" s="1"/>
  <c r="G235" i="1"/>
  <c r="G36" i="1" s="1"/>
  <c r="AT232" i="1"/>
  <c r="AT231" i="1" s="1"/>
  <c r="AT230" i="1" s="1"/>
  <c r="AQ232" i="1"/>
  <c r="AQ231" i="1" s="1"/>
  <c r="AQ230" i="1" s="1"/>
  <c r="AM232" i="1"/>
  <c r="AL232" i="1"/>
  <c r="AK232" i="1"/>
  <c r="AJ232" i="1"/>
  <c r="AF232" i="1"/>
  <c r="AS232" i="1" s="1"/>
  <c r="AS231" i="1" s="1"/>
  <c r="AS230" i="1" s="1"/>
  <c r="AE232" i="1"/>
  <c r="Q232" i="1"/>
  <c r="Q231" i="1" s="1"/>
  <c r="Q230" i="1" s="1"/>
  <c r="P232" i="1"/>
  <c r="P231" i="1" s="1"/>
  <c r="P230" i="1" s="1"/>
  <c r="AU231" i="1"/>
  <c r="AU230" i="1" s="1"/>
  <c r="AP231" i="1"/>
  <c r="AP230" i="1" s="1"/>
  <c r="AO231" i="1"/>
  <c r="AO230" i="1" s="1"/>
  <c r="AN231" i="1"/>
  <c r="AJ231" i="1" s="1"/>
  <c r="AJ230" i="1" s="1"/>
  <c r="AB231" i="1"/>
  <c r="AB230" i="1" s="1"/>
  <c r="AA231" i="1"/>
  <c r="AA230" i="1" s="1"/>
  <c r="Z231" i="1"/>
  <c r="Z230" i="1" s="1"/>
  <c r="Y231" i="1"/>
  <c r="Y230" i="1" s="1"/>
  <c r="X231" i="1"/>
  <c r="W231" i="1"/>
  <c r="W230" i="1" s="1"/>
  <c r="V231" i="1"/>
  <c r="V230" i="1" s="1"/>
  <c r="U231" i="1"/>
  <c r="U230" i="1" s="1"/>
  <c r="T231" i="1"/>
  <c r="T230" i="1" s="1"/>
  <c r="S231" i="1"/>
  <c r="S230" i="1" s="1"/>
  <c r="R231" i="1"/>
  <c r="R230" i="1" s="1"/>
  <c r="O231" i="1"/>
  <c r="O230" i="1" s="1"/>
  <c r="N231" i="1"/>
  <c r="N230" i="1" s="1"/>
  <c r="M231" i="1"/>
  <c r="M230" i="1" s="1"/>
  <c r="L231" i="1"/>
  <c r="L230" i="1" s="1"/>
  <c r="K231" i="1"/>
  <c r="K230" i="1" s="1"/>
  <c r="J231" i="1"/>
  <c r="J230" i="1" s="1"/>
  <c r="AD230" i="1"/>
  <c r="AC230" i="1"/>
  <c r="Q228" i="1"/>
  <c r="P228" i="1"/>
  <c r="BA227" i="1"/>
  <c r="R227" i="1"/>
  <c r="J227" i="1"/>
  <c r="BA226" i="1"/>
  <c r="R226" i="1"/>
  <c r="J226" i="1"/>
  <c r="AZ225" i="1"/>
  <c r="BB225" i="1" s="1"/>
  <c r="BA225" i="1" s="1"/>
  <c r="AX225" i="1"/>
  <c r="AT225" i="1"/>
  <c r="R225" i="1"/>
  <c r="J225" i="1"/>
  <c r="AT224" i="1"/>
  <c r="AQ224" i="1"/>
  <c r="AM224" i="1"/>
  <c r="AI224" i="1" s="1"/>
  <c r="AI223" i="1" s="1"/>
  <c r="AI222" i="1" s="1"/>
  <c r="AL224" i="1"/>
  <c r="AK224" i="1"/>
  <c r="AK223" i="1" s="1"/>
  <c r="AK222" i="1" s="1"/>
  <c r="AJ224" i="1"/>
  <c r="AJ223" i="1" s="1"/>
  <c r="AJ222" i="1" s="1"/>
  <c r="AF224" i="1"/>
  <c r="AS224" i="1" s="1"/>
  <c r="AR224" i="1" s="1"/>
  <c r="AR223" i="1" s="1"/>
  <c r="AR222" i="1" s="1"/>
  <c r="AE224" i="1"/>
  <c r="AE223" i="1" s="1"/>
  <c r="AE222" i="1" s="1"/>
  <c r="Q224" i="1"/>
  <c r="Q223" i="1" s="1"/>
  <c r="Q222" i="1" s="1"/>
  <c r="P224" i="1"/>
  <c r="P223" i="1" s="1"/>
  <c r="P222" i="1" s="1"/>
  <c r="J224" i="1"/>
  <c r="BD223" i="1"/>
  <c r="BD222" i="1" s="1"/>
  <c r="BD218" i="1" s="1"/>
  <c r="BC223" i="1"/>
  <c r="BC222" i="1" s="1"/>
  <c r="BC218" i="1" s="1"/>
  <c r="AW223" i="1"/>
  <c r="AW222" i="1" s="1"/>
  <c r="AV223" i="1"/>
  <c r="AV222" i="1" s="1"/>
  <c r="AU223" i="1"/>
  <c r="AP223" i="1"/>
  <c r="AP222" i="1" s="1"/>
  <c r="AO223" i="1"/>
  <c r="AO222" i="1" s="1"/>
  <c r="AN223" i="1"/>
  <c r="AN222" i="1" s="1"/>
  <c r="AL223" i="1"/>
  <c r="AL222" i="1" s="1"/>
  <c r="AH223" i="1"/>
  <c r="AH222" i="1" s="1"/>
  <c r="AG223" i="1"/>
  <c r="AG222" i="1" s="1"/>
  <c r="AD223" i="1"/>
  <c r="AD222" i="1" s="1"/>
  <c r="AC223" i="1"/>
  <c r="AC222" i="1" s="1"/>
  <c r="AB223" i="1"/>
  <c r="AB222" i="1" s="1"/>
  <c r="AA223" i="1"/>
  <c r="AA222" i="1" s="1"/>
  <c r="Z223" i="1"/>
  <c r="Z222" i="1" s="1"/>
  <c r="Y223" i="1"/>
  <c r="Y222" i="1" s="1"/>
  <c r="X223" i="1"/>
  <c r="X222" i="1" s="1"/>
  <c r="W223" i="1"/>
  <c r="W222" i="1" s="1"/>
  <c r="V223" i="1"/>
  <c r="V222" i="1" s="1"/>
  <c r="U223" i="1"/>
  <c r="U222" i="1" s="1"/>
  <c r="T223" i="1"/>
  <c r="T222" i="1" s="1"/>
  <c r="S223" i="1"/>
  <c r="S222" i="1" s="1"/>
  <c r="O223" i="1"/>
  <c r="O222" i="1" s="1"/>
  <c r="N223" i="1"/>
  <c r="N222" i="1" s="1"/>
  <c r="M223" i="1"/>
  <c r="M222" i="1" s="1"/>
  <c r="L223" i="1"/>
  <c r="L222" i="1" s="1"/>
  <c r="K223" i="1"/>
  <c r="K222" i="1" s="1"/>
  <c r="AU222" i="1"/>
  <c r="BG221" i="1"/>
  <c r="BH221" i="1" s="1"/>
  <c r="BI221" i="1" s="1"/>
  <c r="BA221" i="1"/>
  <c r="BA220" i="1" s="1"/>
  <c r="BA219" i="1" s="1"/>
  <c r="AU221" i="1"/>
  <c r="AS221" i="1"/>
  <c r="R221" i="1"/>
  <c r="R220" i="1" s="1"/>
  <c r="R219" i="1" s="1"/>
  <c r="BD220" i="1"/>
  <c r="BD219" i="1" s="1"/>
  <c r="BC220" i="1"/>
  <c r="BC219" i="1" s="1"/>
  <c r="BB220" i="1"/>
  <c r="BB219" i="1" s="1"/>
  <c r="AW220" i="1"/>
  <c r="AW219" i="1" s="1"/>
  <c r="AV220" i="1"/>
  <c r="AV219" i="1" s="1"/>
  <c r="AP220" i="1"/>
  <c r="AP219" i="1" s="1"/>
  <c r="AO220" i="1"/>
  <c r="AO219" i="1" s="1"/>
  <c r="AN220" i="1"/>
  <c r="AN219" i="1" s="1"/>
  <c r="AM220" i="1"/>
  <c r="AM219" i="1" s="1"/>
  <c r="AL220" i="1"/>
  <c r="AL219" i="1" s="1"/>
  <c r="AK220" i="1"/>
  <c r="AK219" i="1" s="1"/>
  <c r="AJ220" i="1"/>
  <c r="AJ219" i="1" s="1"/>
  <c r="AI220" i="1"/>
  <c r="AI219" i="1" s="1"/>
  <c r="AH220" i="1"/>
  <c r="AH219" i="1" s="1"/>
  <c r="AG220" i="1"/>
  <c r="AG219" i="1" s="1"/>
  <c r="AF220" i="1"/>
  <c r="AF219" i="1" s="1"/>
  <c r="AE220" i="1"/>
  <c r="AE219" i="1" s="1"/>
  <c r="AD220" i="1"/>
  <c r="AD219" i="1" s="1"/>
  <c r="AC220" i="1"/>
  <c r="AC219" i="1" s="1"/>
  <c r="AB220" i="1"/>
  <c r="AB219" i="1" s="1"/>
  <c r="AB218" i="1" s="1"/>
  <c r="AA220" i="1"/>
  <c r="AA219" i="1" s="1"/>
  <c r="Z220" i="1"/>
  <c r="Z219" i="1" s="1"/>
  <c r="Y220" i="1"/>
  <c r="Y219" i="1" s="1"/>
  <c r="X220" i="1"/>
  <c r="X219" i="1" s="1"/>
  <c r="W220" i="1"/>
  <c r="W219" i="1" s="1"/>
  <c r="V220" i="1"/>
  <c r="V219" i="1" s="1"/>
  <c r="U220" i="1"/>
  <c r="U219" i="1" s="1"/>
  <c r="T220" i="1"/>
  <c r="T219" i="1" s="1"/>
  <c r="T218" i="1" s="1"/>
  <c r="S220" i="1"/>
  <c r="S219" i="1" s="1"/>
  <c r="Q220" i="1"/>
  <c r="Q219" i="1" s="1"/>
  <c r="P220" i="1"/>
  <c r="P219" i="1" s="1"/>
  <c r="O220" i="1"/>
  <c r="O219" i="1" s="1"/>
  <c r="N220" i="1"/>
  <c r="N219" i="1" s="1"/>
  <c r="M220" i="1"/>
  <c r="M219" i="1" s="1"/>
  <c r="L220" i="1"/>
  <c r="L219" i="1" s="1"/>
  <c r="K220" i="1"/>
  <c r="K219" i="1" s="1"/>
  <c r="J220" i="1"/>
  <c r="J219" i="1" s="1"/>
  <c r="AT216" i="1"/>
  <c r="AT215" i="1"/>
  <c r="AT214" i="1"/>
  <c r="AZ212" i="1"/>
  <c r="AT212" i="1"/>
  <c r="AR212" i="1"/>
  <c r="AM212" i="1"/>
  <c r="AI212" i="1" s="1"/>
  <c r="AL212" i="1"/>
  <c r="AK212" i="1"/>
  <c r="AJ212" i="1"/>
  <c r="AF212" i="1"/>
  <c r="AE212" i="1"/>
  <c r="Q212" i="1"/>
  <c r="P212" i="1"/>
  <c r="J212" i="1"/>
  <c r="BA211" i="1"/>
  <c r="AZ211" i="1"/>
  <c r="AY211" i="1" s="1"/>
  <c r="AT211" i="1"/>
  <c r="AR211" i="1"/>
  <c r="AQ211" i="1" s="1"/>
  <c r="AX211" i="1" s="1"/>
  <c r="AM211" i="1"/>
  <c r="AI211" i="1" s="1"/>
  <c r="AL211" i="1"/>
  <c r="AK211" i="1"/>
  <c r="AJ211" i="1"/>
  <c r="AF211" i="1"/>
  <c r="AE211" i="1"/>
  <c r="Q211" i="1"/>
  <c r="P211" i="1"/>
  <c r="BA210" i="1"/>
  <c r="AZ210" i="1"/>
  <c r="AY210" i="1" s="1"/>
  <c r="AT210" i="1"/>
  <c r="AR210" i="1"/>
  <c r="AQ210" i="1" s="1"/>
  <c r="AX210" i="1" s="1"/>
  <c r="AM210" i="1"/>
  <c r="AI210" i="1" s="1"/>
  <c r="AL210" i="1"/>
  <c r="AK210" i="1"/>
  <c r="AJ210" i="1"/>
  <c r="AF210" i="1"/>
  <c r="AE210" i="1"/>
  <c r="R210" i="1"/>
  <c r="Q210" i="1"/>
  <c r="P210" i="1"/>
  <c r="J210" i="1"/>
  <c r="BA209" i="1"/>
  <c r="AZ209" i="1"/>
  <c r="AY209" i="1" s="1"/>
  <c r="AT209" i="1"/>
  <c r="AR209" i="1"/>
  <c r="AQ209" i="1" s="1"/>
  <c r="AX209" i="1" s="1"/>
  <c r="AM209" i="1"/>
  <c r="AI209" i="1" s="1"/>
  <c r="AL209" i="1"/>
  <c r="AK209" i="1"/>
  <c r="AJ209" i="1"/>
  <c r="AF209" i="1"/>
  <c r="AE209" i="1"/>
  <c r="R209" i="1"/>
  <c r="Q209" i="1"/>
  <c r="P209" i="1"/>
  <c r="BD208" i="1"/>
  <c r="BD207" i="1" s="1"/>
  <c r="BD206" i="1" s="1"/>
  <c r="BC208" i="1"/>
  <c r="BC207" i="1" s="1"/>
  <c r="BC206" i="1" s="1"/>
  <c r="AW208" i="1"/>
  <c r="AW207" i="1" s="1"/>
  <c r="AW206" i="1" s="1"/>
  <c r="AV208" i="1"/>
  <c r="AV207" i="1" s="1"/>
  <c r="AV206" i="1" s="1"/>
  <c r="AU208" i="1"/>
  <c r="AU207" i="1" s="1"/>
  <c r="AU206" i="1" s="1"/>
  <c r="AS208" i="1"/>
  <c r="AS207" i="1" s="1"/>
  <c r="AS206" i="1" s="1"/>
  <c r="AP208" i="1"/>
  <c r="AP207" i="1" s="1"/>
  <c r="AP206" i="1" s="1"/>
  <c r="AO208" i="1"/>
  <c r="AO207" i="1" s="1"/>
  <c r="AO206" i="1" s="1"/>
  <c r="AN208" i="1"/>
  <c r="AN207" i="1" s="1"/>
  <c r="AN206" i="1" s="1"/>
  <c r="AH208" i="1"/>
  <c r="AH207" i="1" s="1"/>
  <c r="AH206" i="1" s="1"/>
  <c r="AG208" i="1"/>
  <c r="AG207" i="1" s="1"/>
  <c r="AG206" i="1" s="1"/>
  <c r="AD208" i="1"/>
  <c r="AD207" i="1" s="1"/>
  <c r="AD206" i="1" s="1"/>
  <c r="AC208" i="1"/>
  <c r="AC207" i="1" s="1"/>
  <c r="AC206" i="1" s="1"/>
  <c r="AB208" i="1"/>
  <c r="AB207" i="1" s="1"/>
  <c r="AB206" i="1" s="1"/>
  <c r="AA208" i="1"/>
  <c r="AA207" i="1" s="1"/>
  <c r="AA206" i="1" s="1"/>
  <c r="Z208" i="1"/>
  <c r="Z207" i="1" s="1"/>
  <c r="Z206" i="1" s="1"/>
  <c r="Y208" i="1"/>
  <c r="Y207" i="1" s="1"/>
  <c r="Y206" i="1" s="1"/>
  <c r="X208" i="1"/>
  <c r="X207" i="1" s="1"/>
  <c r="X206" i="1" s="1"/>
  <c r="W208" i="1"/>
  <c r="W207" i="1" s="1"/>
  <c r="W206" i="1" s="1"/>
  <c r="V208" i="1"/>
  <c r="V207" i="1" s="1"/>
  <c r="V206" i="1" s="1"/>
  <c r="U208" i="1"/>
  <c r="U207" i="1" s="1"/>
  <c r="U206" i="1" s="1"/>
  <c r="T208" i="1"/>
  <c r="T207" i="1" s="1"/>
  <c r="T206" i="1" s="1"/>
  <c r="S208" i="1"/>
  <c r="S207" i="1" s="1"/>
  <c r="S206" i="1" s="1"/>
  <c r="O208" i="1"/>
  <c r="O207" i="1" s="1"/>
  <c r="O206" i="1" s="1"/>
  <c r="N208" i="1"/>
  <c r="N207" i="1" s="1"/>
  <c r="N206" i="1" s="1"/>
  <c r="M208" i="1"/>
  <c r="M207" i="1" s="1"/>
  <c r="M206" i="1" s="1"/>
  <c r="L208" i="1"/>
  <c r="L207" i="1" s="1"/>
  <c r="L206" i="1" s="1"/>
  <c r="K208" i="1"/>
  <c r="K207" i="1" s="1"/>
  <c r="K206" i="1" s="1"/>
  <c r="BA204" i="1"/>
  <c r="R204" i="1"/>
  <c r="J204" i="1"/>
  <c r="BA203" i="1"/>
  <c r="R203" i="1"/>
  <c r="J203" i="1"/>
  <c r="BA202" i="1"/>
  <c r="R202" i="1"/>
  <c r="BA201" i="1"/>
  <c r="R201" i="1"/>
  <c r="AU200" i="1"/>
  <c r="AZ200" i="1" s="1"/>
  <c r="R200" i="1"/>
  <c r="J200" i="1"/>
  <c r="BD199" i="1"/>
  <c r="BC199" i="1"/>
  <c r="AW199" i="1"/>
  <c r="AV199" i="1"/>
  <c r="AS199" i="1"/>
  <c r="AR199" i="1"/>
  <c r="AQ199" i="1"/>
  <c r="AP199" i="1"/>
  <c r="AO199" i="1"/>
  <c r="AN199" i="1"/>
  <c r="AM199" i="1"/>
  <c r="AL199" i="1"/>
  <c r="AK199" i="1"/>
  <c r="AJ199" i="1"/>
  <c r="AI199" i="1"/>
  <c r="AH199" i="1"/>
  <c r="AG199" i="1"/>
  <c r="AF199" i="1"/>
  <c r="AE199" i="1"/>
  <c r="AD199" i="1"/>
  <c r="AC199" i="1"/>
  <c r="AB199" i="1"/>
  <c r="AA199" i="1"/>
  <c r="Z199" i="1"/>
  <c r="Y199" i="1"/>
  <c r="X199" i="1"/>
  <c r="W199" i="1"/>
  <c r="V199" i="1"/>
  <c r="U199" i="1"/>
  <c r="T199" i="1"/>
  <c r="S199" i="1"/>
  <c r="Q199" i="1"/>
  <c r="P199" i="1"/>
  <c r="O199" i="1"/>
  <c r="N199" i="1"/>
  <c r="M199" i="1"/>
  <c r="L199" i="1"/>
  <c r="K199" i="1"/>
  <c r="BA198" i="1"/>
  <c r="BA197" i="1" s="1"/>
  <c r="BA196" i="1" s="1"/>
  <c r="AU198" i="1"/>
  <c r="AU197" i="1" s="1"/>
  <c r="AU196" i="1" s="1"/>
  <c r="AQ198" i="1"/>
  <c r="AQ197" i="1" s="1"/>
  <c r="AQ196" i="1" s="1"/>
  <c r="AM198" i="1"/>
  <c r="AM197" i="1" s="1"/>
  <c r="AM196" i="1" s="1"/>
  <c r="AL198" i="1"/>
  <c r="AL197" i="1" s="1"/>
  <c r="AL196" i="1" s="1"/>
  <c r="AK198" i="1"/>
  <c r="AK197" i="1" s="1"/>
  <c r="AK196" i="1" s="1"/>
  <c r="AF198" i="1"/>
  <c r="AJ198" i="1" s="1"/>
  <c r="AE198" i="1"/>
  <c r="AE197" i="1" s="1"/>
  <c r="AE196" i="1" s="1"/>
  <c r="Q198" i="1"/>
  <c r="Q197" i="1" s="1"/>
  <c r="Q196" i="1" s="1"/>
  <c r="P198" i="1"/>
  <c r="P197" i="1" s="1"/>
  <c r="P196" i="1" s="1"/>
  <c r="BD197" i="1"/>
  <c r="BD196" i="1" s="1"/>
  <c r="BC197" i="1"/>
  <c r="BC196" i="1" s="1"/>
  <c r="BB197" i="1"/>
  <c r="BB196" i="1" s="1"/>
  <c r="AW197" i="1"/>
  <c r="AW196" i="1" s="1"/>
  <c r="AV197" i="1"/>
  <c r="AV196" i="1" s="1"/>
  <c r="AP197" i="1"/>
  <c r="AP196" i="1" s="1"/>
  <c r="AO197" i="1"/>
  <c r="AO196" i="1" s="1"/>
  <c r="AN197" i="1"/>
  <c r="AN196" i="1" s="1"/>
  <c r="AH197" i="1"/>
  <c r="AG197" i="1"/>
  <c r="AD197" i="1"/>
  <c r="AD196" i="1" s="1"/>
  <c r="AC197" i="1"/>
  <c r="AC196" i="1" s="1"/>
  <c r="AB197" i="1"/>
  <c r="AB196" i="1" s="1"/>
  <c r="AA197" i="1"/>
  <c r="AA196" i="1" s="1"/>
  <c r="Z197" i="1"/>
  <c r="Z196" i="1" s="1"/>
  <c r="Y197" i="1"/>
  <c r="Y196" i="1" s="1"/>
  <c r="X197" i="1"/>
  <c r="X196" i="1" s="1"/>
  <c r="W197" i="1"/>
  <c r="W196" i="1" s="1"/>
  <c r="V197" i="1"/>
  <c r="V196" i="1" s="1"/>
  <c r="U197" i="1"/>
  <c r="U196" i="1" s="1"/>
  <c r="T197" i="1"/>
  <c r="T196" i="1" s="1"/>
  <c r="S197" i="1"/>
  <c r="S196" i="1" s="1"/>
  <c r="R197" i="1"/>
  <c r="R196" i="1" s="1"/>
  <c r="O197" i="1"/>
  <c r="O196" i="1" s="1"/>
  <c r="N197" i="1"/>
  <c r="N196" i="1" s="1"/>
  <c r="M197" i="1"/>
  <c r="M196" i="1" s="1"/>
  <c r="L197" i="1"/>
  <c r="L196" i="1" s="1"/>
  <c r="K197" i="1"/>
  <c r="K196" i="1" s="1"/>
  <c r="J197" i="1"/>
  <c r="J196" i="1" s="1"/>
  <c r="BA195" i="1"/>
  <c r="BA193" i="1" s="1"/>
  <c r="BA192" i="1" s="1"/>
  <c r="AU195" i="1"/>
  <c r="AT195" i="1" s="1"/>
  <c r="AT193" i="1" s="1"/>
  <c r="AT192" i="1" s="1"/>
  <c r="AS195" i="1"/>
  <c r="AQ195" i="1"/>
  <c r="AQ193" i="1" s="1"/>
  <c r="AQ192" i="1" s="1"/>
  <c r="AM195" i="1"/>
  <c r="AM193" i="1" s="1"/>
  <c r="AM192" i="1" s="1"/>
  <c r="AJ195" i="1"/>
  <c r="AJ193" i="1" s="1"/>
  <c r="AJ192" i="1" s="1"/>
  <c r="R195" i="1"/>
  <c r="R193" i="1" s="1"/>
  <c r="R192" i="1" s="1"/>
  <c r="J194" i="1"/>
  <c r="J193" i="1" s="1"/>
  <c r="J192" i="1" s="1"/>
  <c r="BD193" i="1"/>
  <c r="BD192" i="1" s="1"/>
  <c r="BC193" i="1"/>
  <c r="BC192" i="1" s="1"/>
  <c r="BB193" i="1"/>
  <c r="BB192" i="1" s="1"/>
  <c r="AW193" i="1"/>
  <c r="AW192" i="1" s="1"/>
  <c r="AV193" i="1"/>
  <c r="AV192" i="1" s="1"/>
  <c r="AP193" i="1"/>
  <c r="AP192" i="1" s="1"/>
  <c r="AO193" i="1"/>
  <c r="AO192" i="1" s="1"/>
  <c r="AN193" i="1"/>
  <c r="AN192" i="1" s="1"/>
  <c r="AL193" i="1"/>
  <c r="AL192" i="1" s="1"/>
  <c r="AK193" i="1"/>
  <c r="AK192" i="1" s="1"/>
  <c r="AI193" i="1"/>
  <c r="AI192" i="1" s="1"/>
  <c r="AH193" i="1"/>
  <c r="AH192" i="1" s="1"/>
  <c r="AG193" i="1"/>
  <c r="AG192" i="1" s="1"/>
  <c r="AF193" i="1"/>
  <c r="AF192" i="1" s="1"/>
  <c r="AE193" i="1"/>
  <c r="AE192" i="1" s="1"/>
  <c r="AD193" i="1"/>
  <c r="AD192" i="1" s="1"/>
  <c r="AC193" i="1"/>
  <c r="AC192" i="1" s="1"/>
  <c r="AB193" i="1"/>
  <c r="AB192" i="1" s="1"/>
  <c r="AA193" i="1"/>
  <c r="AA192" i="1" s="1"/>
  <c r="Z193" i="1"/>
  <c r="Z192" i="1" s="1"/>
  <c r="Y193" i="1"/>
  <c r="Y192" i="1" s="1"/>
  <c r="X193" i="1"/>
  <c r="X192" i="1" s="1"/>
  <c r="W193" i="1"/>
  <c r="W192" i="1" s="1"/>
  <c r="V193" i="1"/>
  <c r="V192" i="1" s="1"/>
  <c r="U193" i="1"/>
  <c r="U192" i="1" s="1"/>
  <c r="T193" i="1"/>
  <c r="T192" i="1" s="1"/>
  <c r="S193" i="1"/>
  <c r="S192" i="1" s="1"/>
  <c r="Q193" i="1"/>
  <c r="Q192" i="1" s="1"/>
  <c r="P193" i="1"/>
  <c r="P192" i="1" s="1"/>
  <c r="O193" i="1"/>
  <c r="O192" i="1" s="1"/>
  <c r="N193" i="1"/>
  <c r="N192" i="1" s="1"/>
  <c r="M193" i="1"/>
  <c r="M192" i="1" s="1"/>
  <c r="L193" i="1"/>
  <c r="L192" i="1" s="1"/>
  <c r="K193" i="1"/>
  <c r="K192" i="1" s="1"/>
  <c r="AL188" i="1"/>
  <c r="AK188" i="1"/>
  <c r="AJ188" i="1"/>
  <c r="AI188" i="1"/>
  <c r="AF188" i="1"/>
  <c r="AE188" i="1"/>
  <c r="Q188" i="1"/>
  <c r="P188" i="1"/>
  <c r="AL187" i="1"/>
  <c r="AK187" i="1"/>
  <c r="AJ187" i="1"/>
  <c r="AI187" i="1"/>
  <c r="AF187" i="1"/>
  <c r="AE187" i="1"/>
  <c r="Q187" i="1"/>
  <c r="P187" i="1"/>
  <c r="AL186" i="1"/>
  <c r="AK186" i="1"/>
  <c r="AJ186" i="1"/>
  <c r="AI186" i="1"/>
  <c r="AF186" i="1"/>
  <c r="AE186" i="1"/>
  <c r="Q186" i="1"/>
  <c r="P186" i="1"/>
  <c r="AZ185" i="1"/>
  <c r="AY185" i="1" s="1"/>
  <c r="AX185" i="1"/>
  <c r="AT185" i="1"/>
  <c r="AR185" i="1"/>
  <c r="AN185" i="1"/>
  <c r="AJ185" i="1" s="1"/>
  <c r="AL185" i="1"/>
  <c r="AK185" i="1"/>
  <c r="AI185" i="1"/>
  <c r="AF185" i="1"/>
  <c r="AE185" i="1"/>
  <c r="R185" i="1"/>
  <c r="Q185" i="1"/>
  <c r="P185" i="1"/>
  <c r="J185" i="1"/>
  <c r="BF184" i="1"/>
  <c r="BA184" i="1"/>
  <c r="AZ184" i="1"/>
  <c r="AY184" i="1" s="1"/>
  <c r="AX184" i="1"/>
  <c r="AT184" i="1"/>
  <c r="AR184" i="1"/>
  <c r="AN184" i="1"/>
  <c r="AJ184" i="1" s="1"/>
  <c r="AL184" i="1"/>
  <c r="AK184" i="1"/>
  <c r="AI184" i="1"/>
  <c r="AF184" i="1"/>
  <c r="AE184" i="1"/>
  <c r="Q184" i="1"/>
  <c r="P184" i="1"/>
  <c r="BA183" i="1"/>
  <c r="AU183" i="1"/>
  <c r="AQ183" i="1"/>
  <c r="AM183" i="1"/>
  <c r="AI183" i="1" s="1"/>
  <c r="AL183" i="1"/>
  <c r="AK183" i="1"/>
  <c r="AJ183" i="1"/>
  <c r="AF183" i="1"/>
  <c r="AS183" i="1" s="1"/>
  <c r="AE183" i="1"/>
  <c r="Q183" i="1"/>
  <c r="P183" i="1"/>
  <c r="J183" i="1"/>
  <c r="BA182" i="1"/>
  <c r="AU182" i="1"/>
  <c r="AT182" i="1" s="1"/>
  <c r="AM182" i="1"/>
  <c r="AI182" i="1" s="1"/>
  <c r="AL182" i="1"/>
  <c r="AK182" i="1"/>
  <c r="AJ182" i="1"/>
  <c r="AF182" i="1"/>
  <c r="AS182" i="1" s="1"/>
  <c r="AR182" i="1" s="1"/>
  <c r="AE182" i="1"/>
  <c r="V182" i="1"/>
  <c r="Q182" i="1"/>
  <c r="P182" i="1"/>
  <c r="BA181" i="1"/>
  <c r="AT181" i="1"/>
  <c r="AM181" i="1"/>
  <c r="AI181" i="1" s="1"/>
  <c r="AL181" i="1"/>
  <c r="AK181" i="1"/>
  <c r="AJ181" i="1"/>
  <c r="AF181" i="1"/>
  <c r="AE181" i="1"/>
  <c r="V181" i="1"/>
  <c r="AQ181" i="1" s="1"/>
  <c r="AX181" i="1" s="1"/>
  <c r="R181" i="1"/>
  <c r="Q181" i="1"/>
  <c r="P181" i="1"/>
  <c r="BA180" i="1"/>
  <c r="AT180" i="1"/>
  <c r="AN180" i="1"/>
  <c r="AJ180" i="1" s="1"/>
  <c r="AL180" i="1"/>
  <c r="AI180" i="1"/>
  <c r="AF180" i="1"/>
  <c r="AE180" i="1"/>
  <c r="Q180" i="1"/>
  <c r="P180" i="1"/>
  <c r="N180" i="1"/>
  <c r="N179" i="1" s="1"/>
  <c r="N178" i="1" s="1"/>
  <c r="N174" i="1" s="1"/>
  <c r="K180" i="1"/>
  <c r="S180" i="1" s="1"/>
  <c r="R180" i="1" s="1"/>
  <c r="BD179" i="1"/>
  <c r="BD178" i="1" s="1"/>
  <c r="BD174" i="1" s="1"/>
  <c r="BC179" i="1"/>
  <c r="BC178" i="1" s="1"/>
  <c r="BC174" i="1" s="1"/>
  <c r="AW179" i="1"/>
  <c r="AW178" i="1" s="1"/>
  <c r="AW174" i="1" s="1"/>
  <c r="AV179" i="1"/>
  <c r="AV178" i="1" s="1"/>
  <c r="AV174" i="1" s="1"/>
  <c r="AP179" i="1"/>
  <c r="AP178" i="1" s="1"/>
  <c r="AP174" i="1" s="1"/>
  <c r="AH179" i="1"/>
  <c r="AH178" i="1" s="1"/>
  <c r="AH174" i="1" s="1"/>
  <c r="AG179" i="1"/>
  <c r="AG178" i="1" s="1"/>
  <c r="AG174" i="1" s="1"/>
  <c r="AD179" i="1"/>
  <c r="AD178" i="1" s="1"/>
  <c r="AD174" i="1" s="1"/>
  <c r="AC179" i="1"/>
  <c r="AC178" i="1" s="1"/>
  <c r="AC174" i="1" s="1"/>
  <c r="AB179" i="1"/>
  <c r="AB178" i="1" s="1"/>
  <c r="AB174" i="1" s="1"/>
  <c r="AA179" i="1"/>
  <c r="AA178" i="1" s="1"/>
  <c r="AA174" i="1" s="1"/>
  <c r="Z179" i="1"/>
  <c r="Z178" i="1" s="1"/>
  <c r="Z174" i="1" s="1"/>
  <c r="Y179" i="1"/>
  <c r="Y178" i="1" s="1"/>
  <c r="Y174" i="1" s="1"/>
  <c r="X179" i="1"/>
  <c r="X178" i="1" s="1"/>
  <c r="X174" i="1" s="1"/>
  <c r="W179" i="1"/>
  <c r="W178" i="1" s="1"/>
  <c r="W174" i="1" s="1"/>
  <c r="U179" i="1"/>
  <c r="U178" i="1" s="1"/>
  <c r="U174" i="1" s="1"/>
  <c r="T179" i="1"/>
  <c r="T178" i="1" s="1"/>
  <c r="T174" i="1" s="1"/>
  <c r="O179" i="1"/>
  <c r="O178" i="1" s="1"/>
  <c r="O174" i="1" s="1"/>
  <c r="M179" i="1"/>
  <c r="M178" i="1" s="1"/>
  <c r="M174" i="1" s="1"/>
  <c r="L179" i="1"/>
  <c r="L178" i="1" s="1"/>
  <c r="L174" i="1" s="1"/>
  <c r="BD176" i="1"/>
  <c r="BD175" i="1" s="1"/>
  <c r="BC176" i="1"/>
  <c r="BC175" i="1" s="1"/>
  <c r="BB176" i="1"/>
  <c r="BB175" i="1" s="1"/>
  <c r="BA176" i="1"/>
  <c r="BA175" i="1" s="1"/>
  <c r="AZ176" i="1"/>
  <c r="AZ175" i="1" s="1"/>
  <c r="AY176" i="1"/>
  <c r="AY175" i="1" s="1"/>
  <c r="AX176" i="1"/>
  <c r="AX175" i="1" s="1"/>
  <c r="AW176" i="1"/>
  <c r="AW175" i="1" s="1"/>
  <c r="AV176" i="1"/>
  <c r="AV175" i="1" s="1"/>
  <c r="AU176" i="1"/>
  <c r="AU175" i="1" s="1"/>
  <c r="AT176" i="1"/>
  <c r="AT175" i="1" s="1"/>
  <c r="AS176" i="1"/>
  <c r="AS175" i="1" s="1"/>
  <c r="AR176" i="1"/>
  <c r="AR175" i="1" s="1"/>
  <c r="AQ176" i="1"/>
  <c r="AQ175" i="1" s="1"/>
  <c r="AP176" i="1"/>
  <c r="AP175" i="1" s="1"/>
  <c r="AO176" i="1"/>
  <c r="AO175" i="1" s="1"/>
  <c r="AN176" i="1"/>
  <c r="AN175" i="1" s="1"/>
  <c r="AM176" i="1"/>
  <c r="AM175" i="1" s="1"/>
  <c r="AL176" i="1"/>
  <c r="AL175" i="1" s="1"/>
  <c r="AK176" i="1"/>
  <c r="AK175" i="1" s="1"/>
  <c r="AJ176" i="1"/>
  <c r="AJ175" i="1" s="1"/>
  <c r="AI176" i="1"/>
  <c r="AI175" i="1" s="1"/>
  <c r="AH176" i="1"/>
  <c r="AH175" i="1" s="1"/>
  <c r="AG176" i="1"/>
  <c r="AG175" i="1" s="1"/>
  <c r="AF176" i="1"/>
  <c r="AF175" i="1" s="1"/>
  <c r="AE176" i="1"/>
  <c r="AE175" i="1" s="1"/>
  <c r="AD176" i="1"/>
  <c r="AD175" i="1" s="1"/>
  <c r="AC176" i="1"/>
  <c r="AC175" i="1" s="1"/>
  <c r="AB176" i="1"/>
  <c r="AB175" i="1" s="1"/>
  <c r="AA176" i="1"/>
  <c r="AA175" i="1" s="1"/>
  <c r="Z176" i="1"/>
  <c r="Z175" i="1" s="1"/>
  <c r="Y176" i="1"/>
  <c r="Y175" i="1" s="1"/>
  <c r="X176" i="1"/>
  <c r="X175" i="1" s="1"/>
  <c r="W176" i="1"/>
  <c r="W175" i="1" s="1"/>
  <c r="V176" i="1"/>
  <c r="V175" i="1" s="1"/>
  <c r="U176" i="1"/>
  <c r="U175" i="1" s="1"/>
  <c r="T176" i="1"/>
  <c r="T175" i="1" s="1"/>
  <c r="S176" i="1"/>
  <c r="S175" i="1" s="1"/>
  <c r="R176" i="1"/>
  <c r="R175" i="1" s="1"/>
  <c r="Q176" i="1"/>
  <c r="Q175" i="1" s="1"/>
  <c r="P176" i="1"/>
  <c r="P175" i="1" s="1"/>
  <c r="O176" i="1"/>
  <c r="O175" i="1" s="1"/>
  <c r="N176" i="1"/>
  <c r="N175" i="1" s="1"/>
  <c r="M176" i="1"/>
  <c r="M175" i="1" s="1"/>
  <c r="L176" i="1"/>
  <c r="L175" i="1" s="1"/>
  <c r="K176" i="1"/>
  <c r="K175" i="1" s="1"/>
  <c r="J176" i="1"/>
  <c r="J175" i="1" s="1"/>
  <c r="AN173" i="1"/>
  <c r="BA172" i="1"/>
  <c r="BA171" i="1" s="1"/>
  <c r="AT172" i="1"/>
  <c r="AT171" i="1" s="1"/>
  <c r="R172" i="1"/>
  <c r="R171" i="1" s="1"/>
  <c r="J172" i="1"/>
  <c r="J171" i="1" s="1"/>
  <c r="BD171" i="1"/>
  <c r="BC171" i="1"/>
  <c r="BB171" i="1"/>
  <c r="AZ171" i="1"/>
  <c r="AY171" i="1"/>
  <c r="AX171" i="1"/>
  <c r="AW171" i="1"/>
  <c r="AV171" i="1"/>
  <c r="AU171" i="1"/>
  <c r="AS171" i="1"/>
  <c r="AR171" i="1"/>
  <c r="AQ171" i="1"/>
  <c r="AP171" i="1"/>
  <c r="AO171" i="1"/>
  <c r="AN171" i="1"/>
  <c r="AM171" i="1"/>
  <c r="AL171" i="1"/>
  <c r="AK171" i="1"/>
  <c r="AJ171" i="1"/>
  <c r="AI171" i="1"/>
  <c r="AH171" i="1"/>
  <c r="AG171" i="1"/>
  <c r="AF171" i="1"/>
  <c r="AE171" i="1"/>
  <c r="AD171" i="1"/>
  <c r="AC171" i="1"/>
  <c r="AB171" i="1"/>
  <c r="AA171" i="1"/>
  <c r="Z171" i="1"/>
  <c r="Y171" i="1"/>
  <c r="X171" i="1"/>
  <c r="W171" i="1"/>
  <c r="V171" i="1"/>
  <c r="U171" i="1"/>
  <c r="T171" i="1"/>
  <c r="S171" i="1"/>
  <c r="Q171" i="1"/>
  <c r="P171" i="1"/>
  <c r="O171" i="1"/>
  <c r="N171" i="1"/>
  <c r="M171" i="1"/>
  <c r="L171" i="1"/>
  <c r="K171" i="1"/>
  <c r="AU170" i="1"/>
  <c r="BF170" i="1" s="1"/>
  <c r="R170" i="1"/>
  <c r="J170" i="1"/>
  <c r="AZ169" i="1"/>
  <c r="BB169" i="1" s="1"/>
  <c r="BA169" i="1" s="1"/>
  <c r="AX169" i="1"/>
  <c r="AT169" i="1"/>
  <c r="AL169" i="1"/>
  <c r="AK169" i="1"/>
  <c r="AJ169" i="1"/>
  <c r="AI169" i="1"/>
  <c r="AF169" i="1"/>
  <c r="AE169" i="1"/>
  <c r="Q169" i="1"/>
  <c r="P169" i="1"/>
  <c r="J169" i="1"/>
  <c r="AZ168" i="1"/>
  <c r="AY168" i="1" s="1"/>
  <c r="AX168" i="1"/>
  <c r="AT168" i="1"/>
  <c r="AR168" i="1"/>
  <c r="AM168" i="1"/>
  <c r="AI168" i="1" s="1"/>
  <c r="AL168" i="1"/>
  <c r="AK168" i="1"/>
  <c r="AJ168" i="1"/>
  <c r="AF168" i="1"/>
  <c r="AE168" i="1"/>
  <c r="S168" i="1"/>
  <c r="S162" i="1" s="1"/>
  <c r="S161" i="1" s="1"/>
  <c r="Q168" i="1"/>
  <c r="P168" i="1"/>
  <c r="J168" i="1"/>
  <c r="BA167" i="1"/>
  <c r="AU167" i="1"/>
  <c r="AR167" i="1"/>
  <c r="AM167" i="1"/>
  <c r="AI167" i="1" s="1"/>
  <c r="AL167" i="1"/>
  <c r="AK167" i="1"/>
  <c r="AJ167" i="1"/>
  <c r="AF167" i="1"/>
  <c r="AE167" i="1"/>
  <c r="R167" i="1"/>
  <c r="Q167" i="1"/>
  <c r="P167" i="1"/>
  <c r="J167" i="1"/>
  <c r="BA166" i="1"/>
  <c r="AU166" i="1"/>
  <c r="AT166" i="1" s="1"/>
  <c r="AR166" i="1"/>
  <c r="AM166" i="1"/>
  <c r="AI166" i="1" s="1"/>
  <c r="AL166" i="1"/>
  <c r="AK166" i="1"/>
  <c r="AJ166" i="1"/>
  <c r="AF166" i="1"/>
  <c r="AE166" i="1"/>
  <c r="Q166" i="1"/>
  <c r="J166" i="1"/>
  <c r="BA165" i="1"/>
  <c r="AU165" i="1"/>
  <c r="BF165" i="1" s="1"/>
  <c r="AQ165" i="1"/>
  <c r="AM165" i="1"/>
  <c r="AI165" i="1" s="1"/>
  <c r="AL165" i="1"/>
  <c r="AK165" i="1"/>
  <c r="AJ165" i="1"/>
  <c r="AF165" i="1"/>
  <c r="AS165" i="1" s="1"/>
  <c r="AE165" i="1"/>
  <c r="R165" i="1"/>
  <c r="Q165" i="1"/>
  <c r="P165" i="1"/>
  <c r="BA164" i="1"/>
  <c r="AU164" i="1"/>
  <c r="AT164" i="1" s="1"/>
  <c r="AQ164" i="1"/>
  <c r="AM164" i="1"/>
  <c r="AI164" i="1" s="1"/>
  <c r="AL164" i="1"/>
  <c r="AK164" i="1"/>
  <c r="AJ164" i="1"/>
  <c r="AF164" i="1"/>
  <c r="AS164" i="1" s="1"/>
  <c r="AE164" i="1"/>
  <c r="Q164" i="1"/>
  <c r="P164" i="1"/>
  <c r="AU163" i="1"/>
  <c r="AQ163" i="1"/>
  <c r="AM163" i="1"/>
  <c r="AL163" i="1"/>
  <c r="AK163" i="1"/>
  <c r="AJ163" i="1"/>
  <c r="AF163" i="1"/>
  <c r="AS163" i="1" s="1"/>
  <c r="AE163" i="1"/>
  <c r="Q163" i="1"/>
  <c r="P163" i="1"/>
  <c r="BD162" i="1"/>
  <c r="BD161" i="1" s="1"/>
  <c r="BC162" i="1"/>
  <c r="BC161" i="1" s="1"/>
  <c r="AW162" i="1"/>
  <c r="AW161" i="1" s="1"/>
  <c r="AV162" i="1"/>
  <c r="AV161" i="1" s="1"/>
  <c r="AP162" i="1"/>
  <c r="AP161" i="1" s="1"/>
  <c r="AO162" i="1"/>
  <c r="AO161" i="1" s="1"/>
  <c r="AN162" i="1"/>
  <c r="AN161" i="1" s="1"/>
  <c r="AH162" i="1"/>
  <c r="AH161" i="1" s="1"/>
  <c r="AG162" i="1"/>
  <c r="AG161" i="1" s="1"/>
  <c r="AD162" i="1"/>
  <c r="AD161" i="1" s="1"/>
  <c r="AC162" i="1"/>
  <c r="AC161" i="1" s="1"/>
  <c r="AB162" i="1"/>
  <c r="AB161" i="1" s="1"/>
  <c r="AA162" i="1"/>
  <c r="AA161" i="1" s="1"/>
  <c r="Z162" i="1"/>
  <c r="Z161" i="1" s="1"/>
  <c r="Y162" i="1"/>
  <c r="Y161" i="1" s="1"/>
  <c r="X162" i="1"/>
  <c r="X161" i="1" s="1"/>
  <c r="W162" i="1"/>
  <c r="W161" i="1" s="1"/>
  <c r="V162" i="1"/>
  <c r="V161" i="1" s="1"/>
  <c r="U162" i="1"/>
  <c r="U161" i="1" s="1"/>
  <c r="T162" i="1"/>
  <c r="T161" i="1" s="1"/>
  <c r="O162" i="1"/>
  <c r="O161" i="1" s="1"/>
  <c r="N162" i="1"/>
  <c r="N161" i="1" s="1"/>
  <c r="M162" i="1"/>
  <c r="M161" i="1" s="1"/>
  <c r="L162" i="1"/>
  <c r="L161" i="1" s="1"/>
  <c r="K162" i="1"/>
  <c r="K161" i="1" s="1"/>
  <c r="AT160" i="1"/>
  <c r="AQ160" i="1"/>
  <c r="AM160" i="1"/>
  <c r="AI160" i="1" s="1"/>
  <c r="AL160" i="1"/>
  <c r="AK160" i="1"/>
  <c r="AJ160" i="1"/>
  <c r="AF160" i="1"/>
  <c r="AS160" i="1" s="1"/>
  <c r="AR160" i="1" s="1"/>
  <c r="AE160" i="1"/>
  <c r="R160" i="1"/>
  <c r="Q160" i="1"/>
  <c r="P160" i="1"/>
  <c r="BA159" i="1"/>
  <c r="BA157" i="1" s="1"/>
  <c r="BA156" i="1" s="1"/>
  <c r="AT159" i="1"/>
  <c r="AT157" i="1" s="1"/>
  <c r="AT156" i="1" s="1"/>
  <c r="AS159" i="1"/>
  <c r="AR159" i="1" s="1"/>
  <c r="AR157" i="1" s="1"/>
  <c r="AR156" i="1" s="1"/>
  <c r="AM159" i="1"/>
  <c r="AM157" i="1" s="1"/>
  <c r="AM156" i="1" s="1"/>
  <c r="AE159" i="1"/>
  <c r="AE157" i="1" s="1"/>
  <c r="AE156" i="1" s="1"/>
  <c r="V159" i="1"/>
  <c r="AQ159" i="1" s="1"/>
  <c r="AX159" i="1" s="1"/>
  <c r="AX157" i="1" s="1"/>
  <c r="AX156" i="1" s="1"/>
  <c r="R159" i="1"/>
  <c r="R157" i="1" s="1"/>
  <c r="R156" i="1" s="1"/>
  <c r="AT158" i="1"/>
  <c r="AM158" i="1"/>
  <c r="AI158" i="1" s="1"/>
  <c r="AL158" i="1"/>
  <c r="AK158" i="1"/>
  <c r="AJ158" i="1"/>
  <c r="W158" i="1"/>
  <c r="X158" i="1" s="1"/>
  <c r="AF158" i="1" s="1"/>
  <c r="AS158" i="1" s="1"/>
  <c r="AR158" i="1" s="1"/>
  <c r="V158" i="1"/>
  <c r="AQ158" i="1" s="1"/>
  <c r="R158" i="1"/>
  <c r="BD157" i="1"/>
  <c r="BD156" i="1" s="1"/>
  <c r="BC157" i="1"/>
  <c r="BC156" i="1" s="1"/>
  <c r="BB157" i="1"/>
  <c r="BB156" i="1" s="1"/>
  <c r="AW157" i="1"/>
  <c r="AW156" i="1" s="1"/>
  <c r="AV157" i="1"/>
  <c r="AV156" i="1" s="1"/>
  <c r="AU157" i="1"/>
  <c r="AU156" i="1" s="1"/>
  <c r="AP157" i="1"/>
  <c r="AP156" i="1" s="1"/>
  <c r="AO157" i="1"/>
  <c r="AO156" i="1" s="1"/>
  <c r="AN157" i="1"/>
  <c r="AN156" i="1" s="1"/>
  <c r="AL157" i="1"/>
  <c r="AL156" i="1" s="1"/>
  <c r="AK157" i="1"/>
  <c r="AK156" i="1" s="1"/>
  <c r="AJ157" i="1"/>
  <c r="AJ156" i="1" s="1"/>
  <c r="AI157" i="1"/>
  <c r="AI156" i="1" s="1"/>
  <c r="AH157" i="1"/>
  <c r="AG157" i="1"/>
  <c r="AF157" i="1"/>
  <c r="AF156" i="1" s="1"/>
  <c r="AD157" i="1"/>
  <c r="AD156" i="1" s="1"/>
  <c r="AC157" i="1"/>
  <c r="AC156" i="1" s="1"/>
  <c r="AB157" i="1"/>
  <c r="AB156" i="1" s="1"/>
  <c r="AA157" i="1"/>
  <c r="AA156" i="1" s="1"/>
  <c r="Z157" i="1"/>
  <c r="Z156" i="1" s="1"/>
  <c r="Y157" i="1"/>
  <c r="Y156" i="1" s="1"/>
  <c r="X157" i="1"/>
  <c r="X156" i="1" s="1"/>
  <c r="W157" i="1"/>
  <c r="W156" i="1" s="1"/>
  <c r="U157" i="1"/>
  <c r="U156" i="1" s="1"/>
  <c r="T157" i="1"/>
  <c r="T156" i="1" s="1"/>
  <c r="S157" i="1"/>
  <c r="S156" i="1" s="1"/>
  <c r="Q157" i="1"/>
  <c r="Q156" i="1" s="1"/>
  <c r="P157" i="1"/>
  <c r="P156" i="1" s="1"/>
  <c r="O157" i="1"/>
  <c r="O156" i="1" s="1"/>
  <c r="N157" i="1"/>
  <c r="N156" i="1" s="1"/>
  <c r="M157" i="1"/>
  <c r="M156" i="1" s="1"/>
  <c r="L157" i="1"/>
  <c r="L156" i="1" s="1"/>
  <c r="K157" i="1"/>
  <c r="K156" i="1" s="1"/>
  <c r="J157" i="1"/>
  <c r="J156" i="1" s="1"/>
  <c r="BA153" i="1"/>
  <c r="R153" i="1"/>
  <c r="BA152" i="1"/>
  <c r="R152" i="1"/>
  <c r="J152" i="1"/>
  <c r="BA151" i="1"/>
  <c r="R151" i="1"/>
  <c r="J151" i="1"/>
  <c r="BA150" i="1"/>
  <c r="R150" i="1"/>
  <c r="BD149" i="1"/>
  <c r="BC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Q149" i="1"/>
  <c r="P149" i="1"/>
  <c r="O149" i="1"/>
  <c r="N149" i="1"/>
  <c r="M149" i="1"/>
  <c r="L149" i="1"/>
  <c r="K149" i="1"/>
  <c r="BF148" i="1"/>
  <c r="AZ148" i="1"/>
  <c r="AZ147" i="1" s="1"/>
  <c r="AX148" i="1"/>
  <c r="AX147" i="1" s="1"/>
  <c r="AT148" i="1"/>
  <c r="AT147" i="1" s="1"/>
  <c r="AR148" i="1"/>
  <c r="AR147" i="1" s="1"/>
  <c r="AI148" i="1"/>
  <c r="AJ148" i="1" s="1"/>
  <c r="AJ147" i="1" s="1"/>
  <c r="J148" i="1"/>
  <c r="J147" i="1" s="1"/>
  <c r="BD147" i="1"/>
  <c r="BC147" i="1"/>
  <c r="AW147" i="1"/>
  <c r="AV147" i="1"/>
  <c r="AU147" i="1"/>
  <c r="AS147" i="1"/>
  <c r="AQ147" i="1"/>
  <c r="AP147" i="1"/>
  <c r="AO147" i="1"/>
  <c r="AN147" i="1"/>
  <c r="AM147" i="1"/>
  <c r="AL147" i="1"/>
  <c r="AK147" i="1"/>
  <c r="AH147" i="1"/>
  <c r="AG147" i="1"/>
  <c r="AF147" i="1"/>
  <c r="AE147" i="1"/>
  <c r="AD147" i="1"/>
  <c r="AC147" i="1"/>
  <c r="AB147" i="1"/>
  <c r="AA147" i="1"/>
  <c r="Z147" i="1"/>
  <c r="Y147" i="1"/>
  <c r="X147" i="1"/>
  <c r="W147" i="1"/>
  <c r="V147" i="1"/>
  <c r="U147" i="1"/>
  <c r="T147" i="1"/>
  <c r="S147" i="1"/>
  <c r="R147" i="1"/>
  <c r="Q147" i="1"/>
  <c r="P147" i="1"/>
  <c r="O147" i="1"/>
  <c r="N147" i="1"/>
  <c r="M147" i="1"/>
  <c r="L147" i="1"/>
  <c r="K147" i="1"/>
  <c r="BA146" i="1"/>
  <c r="AT146" i="1"/>
  <c r="AQ146" i="1"/>
  <c r="AX146" i="1" s="1"/>
  <c r="AM146" i="1"/>
  <c r="AL146" i="1"/>
  <c r="AK146" i="1"/>
  <c r="AI146" i="1"/>
  <c r="AJ146" i="1" s="1"/>
  <c r="AF146" i="1"/>
  <c r="AS146" i="1" s="1"/>
  <c r="AE146" i="1"/>
  <c r="Q146" i="1"/>
  <c r="P146" i="1"/>
  <c r="J146" i="1"/>
  <c r="BA145" i="1"/>
  <c r="AU145" i="1"/>
  <c r="AT145" i="1" s="1"/>
  <c r="AQ145" i="1"/>
  <c r="AM145" i="1"/>
  <c r="AJ145" i="1" s="1"/>
  <c r="AI145" i="1" s="1"/>
  <c r="AL145" i="1"/>
  <c r="AK145" i="1"/>
  <c r="AF145" i="1"/>
  <c r="AS145" i="1" s="1"/>
  <c r="AE145" i="1"/>
  <c r="R145" i="1"/>
  <c r="Q145" i="1"/>
  <c r="P145" i="1"/>
  <c r="J145" i="1"/>
  <c r="BA144" i="1"/>
  <c r="AT144" i="1"/>
  <c r="AQ144" i="1"/>
  <c r="AX144" i="1" s="1"/>
  <c r="AM144" i="1"/>
  <c r="AL144" i="1"/>
  <c r="AK144" i="1"/>
  <c r="AI144" i="1"/>
  <c r="AJ144" i="1" s="1"/>
  <c r="AF144" i="1"/>
  <c r="AS144" i="1" s="1"/>
  <c r="AE144" i="1"/>
  <c r="R144" i="1"/>
  <c r="Q144" i="1"/>
  <c r="P144" i="1"/>
  <c r="BA143" i="1"/>
  <c r="AU143" i="1"/>
  <c r="AT143" i="1" s="1"/>
  <c r="AQ143" i="1"/>
  <c r="AM143" i="1"/>
  <c r="AL143" i="1"/>
  <c r="AK143" i="1"/>
  <c r="AI143" i="1"/>
  <c r="AJ143" i="1" s="1"/>
  <c r="AF143" i="1"/>
  <c r="AS143" i="1" s="1"/>
  <c r="AE143" i="1"/>
  <c r="R143" i="1"/>
  <c r="Q143" i="1"/>
  <c r="P143" i="1"/>
  <c r="K143" i="1"/>
  <c r="BA142" i="1"/>
  <c r="AT142" i="1"/>
  <c r="AQ142" i="1"/>
  <c r="AM142" i="1"/>
  <c r="AL142" i="1"/>
  <c r="AK142" i="1"/>
  <c r="AI142" i="1"/>
  <c r="AJ142" i="1" s="1"/>
  <c r="AF142" i="1"/>
  <c r="AS142" i="1" s="1"/>
  <c r="AE142" i="1"/>
  <c r="Q142" i="1"/>
  <c r="P142" i="1"/>
  <c r="K142" i="1"/>
  <c r="BA141" i="1"/>
  <c r="AT141" i="1"/>
  <c r="AQ141" i="1"/>
  <c r="AX141" i="1" s="1"/>
  <c r="AM141" i="1"/>
  <c r="AL141" i="1"/>
  <c r="AK141" i="1"/>
  <c r="AI141" i="1"/>
  <c r="AF141" i="1"/>
  <c r="AE141" i="1"/>
  <c r="R141" i="1"/>
  <c r="Q141" i="1"/>
  <c r="P141" i="1"/>
  <c r="BD140" i="1"/>
  <c r="BD139" i="1" s="1"/>
  <c r="BC140" i="1"/>
  <c r="BC139" i="1" s="1"/>
  <c r="BB140" i="1"/>
  <c r="BB139" i="1" s="1"/>
  <c r="AW140" i="1"/>
  <c r="AW139" i="1" s="1"/>
  <c r="AV140" i="1"/>
  <c r="AV139" i="1" s="1"/>
  <c r="AP140" i="1"/>
  <c r="AP139" i="1" s="1"/>
  <c r="AO140" i="1"/>
  <c r="AO139" i="1" s="1"/>
  <c r="AN140" i="1"/>
  <c r="AN139" i="1" s="1"/>
  <c r="AH140" i="1"/>
  <c r="AG140" i="1"/>
  <c r="AD140" i="1"/>
  <c r="AD139" i="1" s="1"/>
  <c r="AC140" i="1"/>
  <c r="AC139" i="1" s="1"/>
  <c r="AB140" i="1"/>
  <c r="AB139" i="1" s="1"/>
  <c r="AA140" i="1"/>
  <c r="AA139" i="1" s="1"/>
  <c r="Z140" i="1"/>
  <c r="Z139" i="1" s="1"/>
  <c r="Y140" i="1"/>
  <c r="Y139" i="1" s="1"/>
  <c r="X140" i="1"/>
  <c r="X139" i="1" s="1"/>
  <c r="W140" i="1"/>
  <c r="W139" i="1" s="1"/>
  <c r="V140" i="1"/>
  <c r="V139" i="1" s="1"/>
  <c r="U140" i="1"/>
  <c r="U139" i="1" s="1"/>
  <c r="T140" i="1"/>
  <c r="T139" i="1" s="1"/>
  <c r="S140" i="1"/>
  <c r="S139" i="1" s="1"/>
  <c r="O140" i="1"/>
  <c r="O139" i="1" s="1"/>
  <c r="N140" i="1"/>
  <c r="N139" i="1" s="1"/>
  <c r="M140" i="1"/>
  <c r="M139" i="1" s="1"/>
  <c r="L140" i="1"/>
  <c r="L139" i="1" s="1"/>
  <c r="BA138" i="1"/>
  <c r="BA137" i="1" s="1"/>
  <c r="BA136" i="1" s="1"/>
  <c r="AT138" i="1"/>
  <c r="AT137" i="1" s="1"/>
  <c r="AT136" i="1" s="1"/>
  <c r="AN138" i="1"/>
  <c r="AN137" i="1" s="1"/>
  <c r="AN136" i="1" s="1"/>
  <c r="AL138" i="1"/>
  <c r="AL137" i="1" s="1"/>
  <c r="AL136" i="1" s="1"/>
  <c r="AK138" i="1"/>
  <c r="AK137" i="1" s="1"/>
  <c r="AK136" i="1" s="1"/>
  <c r="AI138" i="1"/>
  <c r="AI137" i="1" s="1"/>
  <c r="AI136" i="1" s="1"/>
  <c r="AF138" i="1"/>
  <c r="AF137" i="1" s="1"/>
  <c r="AF136" i="1" s="1"/>
  <c r="AE138" i="1"/>
  <c r="AE137" i="1" s="1"/>
  <c r="AE136" i="1" s="1"/>
  <c r="Q138" i="1"/>
  <c r="Q137" i="1" s="1"/>
  <c r="Q136" i="1" s="1"/>
  <c r="P138" i="1"/>
  <c r="P137" i="1" s="1"/>
  <c r="P136" i="1" s="1"/>
  <c r="BD137" i="1"/>
  <c r="BD136" i="1" s="1"/>
  <c r="BC137" i="1"/>
  <c r="BC136" i="1" s="1"/>
  <c r="BB137" i="1"/>
  <c r="BB136" i="1" s="1"/>
  <c r="AW137" i="1"/>
  <c r="AW136" i="1" s="1"/>
  <c r="AV137" i="1"/>
  <c r="AV136" i="1" s="1"/>
  <c r="AU137" i="1"/>
  <c r="AU136" i="1" s="1"/>
  <c r="AP137" i="1"/>
  <c r="AP136" i="1" s="1"/>
  <c r="AO137" i="1"/>
  <c r="AO136" i="1" s="1"/>
  <c r="AM137" i="1"/>
  <c r="AM136" i="1" s="1"/>
  <c r="AD137" i="1"/>
  <c r="AD136" i="1" s="1"/>
  <c r="AC137" i="1"/>
  <c r="AC136" i="1" s="1"/>
  <c r="AB137" i="1"/>
  <c r="AB136" i="1" s="1"/>
  <c r="AA137" i="1"/>
  <c r="AA136" i="1" s="1"/>
  <c r="Z137" i="1"/>
  <c r="Z136" i="1" s="1"/>
  <c r="Y137" i="1"/>
  <c r="Y136" i="1" s="1"/>
  <c r="X137" i="1"/>
  <c r="X136" i="1" s="1"/>
  <c r="W137" i="1"/>
  <c r="W136" i="1" s="1"/>
  <c r="V137" i="1"/>
  <c r="V136" i="1" s="1"/>
  <c r="U137" i="1"/>
  <c r="U136" i="1" s="1"/>
  <c r="T137" i="1"/>
  <c r="T136" i="1" s="1"/>
  <c r="S137" i="1"/>
  <c r="S136" i="1" s="1"/>
  <c r="R137" i="1"/>
  <c r="R136" i="1" s="1"/>
  <c r="O137" i="1"/>
  <c r="O136" i="1" s="1"/>
  <c r="N137" i="1"/>
  <c r="N136" i="1" s="1"/>
  <c r="M137" i="1"/>
  <c r="M136" i="1" s="1"/>
  <c r="L137" i="1"/>
  <c r="L136" i="1" s="1"/>
  <c r="K137" i="1"/>
  <c r="K136" i="1" s="1"/>
  <c r="J137" i="1"/>
  <c r="J136" i="1" s="1"/>
  <c r="BA133" i="1"/>
  <c r="R133" i="1"/>
  <c r="R131" i="1" s="1"/>
  <c r="R130" i="1" s="1"/>
  <c r="R129" i="1" s="1"/>
  <c r="J133" i="1"/>
  <c r="J131" i="1" s="1"/>
  <c r="J130" i="1" s="1"/>
  <c r="J129" i="1" s="1"/>
  <c r="BA132" i="1"/>
  <c r="AT132" i="1"/>
  <c r="AT131" i="1" s="1"/>
  <c r="AT130" i="1" s="1"/>
  <c r="AT129" i="1" s="1"/>
  <c r="AQ132" i="1"/>
  <c r="AX132" i="1" s="1"/>
  <c r="AX131" i="1" s="1"/>
  <c r="AX130" i="1" s="1"/>
  <c r="AX129" i="1" s="1"/>
  <c r="AM132" i="1"/>
  <c r="AM131" i="1" s="1"/>
  <c r="AM130" i="1" s="1"/>
  <c r="AM129" i="1" s="1"/>
  <c r="AL132" i="1"/>
  <c r="AL131" i="1" s="1"/>
  <c r="AL130" i="1" s="1"/>
  <c r="AL129" i="1" s="1"/>
  <c r="AK132" i="1"/>
  <c r="AK131" i="1" s="1"/>
  <c r="AK130" i="1" s="1"/>
  <c r="AK129" i="1" s="1"/>
  <c r="AJ132" i="1"/>
  <c r="AJ131" i="1" s="1"/>
  <c r="AJ130" i="1" s="1"/>
  <c r="AJ129" i="1" s="1"/>
  <c r="AF132" i="1"/>
  <c r="AE132" i="1"/>
  <c r="AE131" i="1" s="1"/>
  <c r="AE130" i="1" s="1"/>
  <c r="AE129" i="1" s="1"/>
  <c r="Q132" i="1"/>
  <c r="Q131" i="1" s="1"/>
  <c r="Q130" i="1" s="1"/>
  <c r="Q129" i="1" s="1"/>
  <c r="P132" i="1"/>
  <c r="P131" i="1" s="1"/>
  <c r="P130" i="1" s="1"/>
  <c r="P129" i="1" s="1"/>
  <c r="BD131" i="1"/>
  <c r="BD130" i="1" s="1"/>
  <c r="BD129" i="1" s="1"/>
  <c r="BC131" i="1"/>
  <c r="BC130" i="1" s="1"/>
  <c r="BC129" i="1" s="1"/>
  <c r="BB131" i="1"/>
  <c r="BB130" i="1" s="1"/>
  <c r="BB129" i="1" s="1"/>
  <c r="AW131" i="1"/>
  <c r="AW130" i="1" s="1"/>
  <c r="AW129" i="1" s="1"/>
  <c r="AV131" i="1"/>
  <c r="AV130" i="1" s="1"/>
  <c r="AV129" i="1" s="1"/>
  <c r="AU131" i="1"/>
  <c r="AU130" i="1" s="1"/>
  <c r="AU129" i="1" s="1"/>
  <c r="AP131" i="1"/>
  <c r="AP130" i="1" s="1"/>
  <c r="AP129" i="1" s="1"/>
  <c r="AO131" i="1"/>
  <c r="AO130" i="1" s="1"/>
  <c r="AO129" i="1" s="1"/>
  <c r="AN131" i="1"/>
  <c r="AN130" i="1" s="1"/>
  <c r="AN129" i="1" s="1"/>
  <c r="AI131" i="1"/>
  <c r="AI130" i="1" s="1"/>
  <c r="AI129" i="1" s="1"/>
  <c r="AH131" i="1"/>
  <c r="AH130" i="1" s="1"/>
  <c r="AH129" i="1" s="1"/>
  <c r="AG131" i="1"/>
  <c r="AG130" i="1" s="1"/>
  <c r="AG129" i="1" s="1"/>
  <c r="AD131" i="1"/>
  <c r="AD130" i="1" s="1"/>
  <c r="AD129" i="1" s="1"/>
  <c r="AC131" i="1"/>
  <c r="AC130" i="1" s="1"/>
  <c r="AC129" i="1" s="1"/>
  <c r="AB131" i="1"/>
  <c r="AB130" i="1" s="1"/>
  <c r="AB129" i="1" s="1"/>
  <c r="AA131" i="1"/>
  <c r="AA130" i="1" s="1"/>
  <c r="AA129" i="1" s="1"/>
  <c r="Z131" i="1"/>
  <c r="Z130" i="1" s="1"/>
  <c r="Z129" i="1" s="1"/>
  <c r="Y131" i="1"/>
  <c r="Y130" i="1" s="1"/>
  <c r="Y129" i="1" s="1"/>
  <c r="X131" i="1"/>
  <c r="X130" i="1" s="1"/>
  <c r="X129" i="1" s="1"/>
  <c r="W131" i="1"/>
  <c r="W130" i="1" s="1"/>
  <c r="W129" i="1" s="1"/>
  <c r="V131" i="1"/>
  <c r="V130" i="1" s="1"/>
  <c r="V129" i="1" s="1"/>
  <c r="U131" i="1"/>
  <c r="U130" i="1" s="1"/>
  <c r="U129" i="1" s="1"/>
  <c r="T131" i="1"/>
  <c r="T130" i="1" s="1"/>
  <c r="T129" i="1" s="1"/>
  <c r="S131" i="1"/>
  <c r="S130" i="1" s="1"/>
  <c r="S129" i="1" s="1"/>
  <c r="O131" i="1"/>
  <c r="O130" i="1" s="1"/>
  <c r="O129" i="1" s="1"/>
  <c r="N131" i="1"/>
  <c r="N130" i="1" s="1"/>
  <c r="N129" i="1" s="1"/>
  <c r="M131" i="1"/>
  <c r="M130" i="1" s="1"/>
  <c r="M129" i="1" s="1"/>
  <c r="L131" i="1"/>
  <c r="L130" i="1" s="1"/>
  <c r="L129" i="1" s="1"/>
  <c r="K131" i="1"/>
  <c r="K130" i="1" s="1"/>
  <c r="K129" i="1" s="1"/>
  <c r="AL128" i="1"/>
  <c r="AK128" i="1"/>
  <c r="AE128" i="1"/>
  <c r="BA127" i="1"/>
  <c r="R127" i="1"/>
  <c r="J127" i="1"/>
  <c r="BA126" i="1"/>
  <c r="R126" i="1"/>
  <c r="J126" i="1"/>
  <c r="BD125" i="1"/>
  <c r="BC125" i="1"/>
  <c r="BB125" i="1"/>
  <c r="AZ125" i="1"/>
  <c r="AY125" i="1"/>
  <c r="AX125" i="1"/>
  <c r="AW125" i="1"/>
  <c r="AV125" i="1"/>
  <c r="AU125" i="1"/>
  <c r="AT125" i="1"/>
  <c r="AS125" i="1"/>
  <c r="AR125" i="1"/>
  <c r="AQ125" i="1"/>
  <c r="AP125" i="1"/>
  <c r="AO125" i="1"/>
  <c r="AN125" i="1"/>
  <c r="AM125" i="1"/>
  <c r="AL125" i="1"/>
  <c r="AK125" i="1"/>
  <c r="AJ125" i="1"/>
  <c r="AI125" i="1"/>
  <c r="AH125" i="1"/>
  <c r="AG125" i="1"/>
  <c r="AF125" i="1"/>
  <c r="AE125" i="1"/>
  <c r="AD125" i="1"/>
  <c r="AC125" i="1"/>
  <c r="AB125" i="1"/>
  <c r="AA125" i="1"/>
  <c r="Z125" i="1"/>
  <c r="Y125" i="1"/>
  <c r="X125" i="1"/>
  <c r="W125" i="1"/>
  <c r="V125" i="1"/>
  <c r="U125" i="1"/>
  <c r="T125" i="1"/>
  <c r="S125" i="1"/>
  <c r="Q125" i="1"/>
  <c r="P125" i="1"/>
  <c r="O125" i="1"/>
  <c r="N125" i="1"/>
  <c r="M125" i="1"/>
  <c r="L125" i="1"/>
  <c r="K125" i="1"/>
  <c r="AT124" i="1"/>
  <c r="AQ124" i="1"/>
  <c r="AX124" i="1" s="1"/>
  <c r="AM124" i="1"/>
  <c r="AK124" i="1"/>
  <c r="AJ124" i="1"/>
  <c r="AF124" i="1"/>
  <c r="AS124" i="1" s="1"/>
  <c r="AE124" i="1"/>
  <c r="R124" i="1"/>
  <c r="Q124" i="1"/>
  <c r="P124" i="1"/>
  <c r="J124" i="1"/>
  <c r="J121" i="1" s="1"/>
  <c r="J120" i="1" s="1"/>
  <c r="AU123" i="1"/>
  <c r="AT123" i="1" s="1"/>
  <c r="AQ123" i="1"/>
  <c r="AM123" i="1"/>
  <c r="AI123" i="1" s="1"/>
  <c r="AK123" i="1"/>
  <c r="AJ123" i="1"/>
  <c r="AF123" i="1"/>
  <c r="AS123" i="1" s="1"/>
  <c r="AE123" i="1"/>
  <c r="AD123" i="1"/>
  <c r="AD121" i="1" s="1"/>
  <c r="AD120" i="1" s="1"/>
  <c r="R123" i="1"/>
  <c r="Q123" i="1"/>
  <c r="P123" i="1"/>
  <c r="BA122" i="1"/>
  <c r="AT122" i="1"/>
  <c r="AQ122" i="1"/>
  <c r="AX122" i="1" s="1"/>
  <c r="AM122" i="1"/>
  <c r="AI122" i="1" s="1"/>
  <c r="AL122" i="1"/>
  <c r="AL121" i="1" s="1"/>
  <c r="AL120" i="1" s="1"/>
  <c r="AK122" i="1"/>
  <c r="AJ122" i="1"/>
  <c r="AF122" i="1"/>
  <c r="AS122" i="1" s="1"/>
  <c r="AZ122" i="1" s="1"/>
  <c r="AE122" i="1"/>
  <c r="R122" i="1"/>
  <c r="Q122" i="1"/>
  <c r="P122" i="1"/>
  <c r="O122" i="1"/>
  <c r="O121" i="1" s="1"/>
  <c r="O120" i="1" s="1"/>
  <c r="BD121" i="1"/>
  <c r="BD120" i="1" s="1"/>
  <c r="BC121" i="1"/>
  <c r="BC120" i="1" s="1"/>
  <c r="AW121" i="1"/>
  <c r="AW120" i="1" s="1"/>
  <c r="AV121" i="1"/>
  <c r="AV120" i="1" s="1"/>
  <c r="AP121" i="1"/>
  <c r="AP120" i="1" s="1"/>
  <c r="AO121" i="1"/>
  <c r="AO120" i="1" s="1"/>
  <c r="AN121" i="1"/>
  <c r="AN120" i="1" s="1"/>
  <c r="AH121" i="1"/>
  <c r="AH120" i="1" s="1"/>
  <c r="AG121" i="1"/>
  <c r="AG120" i="1" s="1"/>
  <c r="AC121" i="1"/>
  <c r="AC120" i="1" s="1"/>
  <c r="AB121" i="1"/>
  <c r="AB120" i="1" s="1"/>
  <c r="AA121" i="1"/>
  <c r="AA120" i="1" s="1"/>
  <c r="Z121" i="1"/>
  <c r="Z120" i="1" s="1"/>
  <c r="Y121" i="1"/>
  <c r="Y120" i="1" s="1"/>
  <c r="X121" i="1"/>
  <c r="X120" i="1" s="1"/>
  <c r="W121" i="1"/>
  <c r="W120" i="1" s="1"/>
  <c r="V121" i="1"/>
  <c r="V120" i="1" s="1"/>
  <c r="U121" i="1"/>
  <c r="U120" i="1" s="1"/>
  <c r="T121" i="1"/>
  <c r="T120" i="1" s="1"/>
  <c r="S121" i="1"/>
  <c r="S120" i="1" s="1"/>
  <c r="N121" i="1"/>
  <c r="N120" i="1" s="1"/>
  <c r="M121" i="1"/>
  <c r="M120" i="1" s="1"/>
  <c r="L121" i="1"/>
  <c r="L120" i="1" s="1"/>
  <c r="K121" i="1"/>
  <c r="K120" i="1" s="1"/>
  <c r="BA116" i="1"/>
  <c r="R116" i="1"/>
  <c r="J116" i="1"/>
  <c r="BA115" i="1"/>
  <c r="R115" i="1"/>
  <c r="J115" i="1"/>
  <c r="BA114" i="1"/>
  <c r="R114" i="1"/>
  <c r="J114" i="1"/>
  <c r="BD113" i="1"/>
  <c r="BC113" i="1"/>
  <c r="BB113" i="1"/>
  <c r="AZ113" i="1"/>
  <c r="AY113" i="1"/>
  <c r="AX113" i="1"/>
  <c r="AW113" i="1"/>
  <c r="AV113" i="1"/>
  <c r="AU113" i="1"/>
  <c r="AT113" i="1"/>
  <c r="AS113" i="1"/>
  <c r="AR113"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Q113" i="1"/>
  <c r="P113" i="1"/>
  <c r="O113" i="1"/>
  <c r="N113" i="1"/>
  <c r="M113" i="1"/>
  <c r="L113" i="1"/>
  <c r="K113" i="1"/>
  <c r="BF112" i="1"/>
  <c r="AZ112" i="1"/>
  <c r="AY112" i="1" s="1"/>
  <c r="AX112" i="1"/>
  <c r="AT112" i="1"/>
  <c r="AR112" i="1"/>
  <c r="AM112" i="1"/>
  <c r="AI112" i="1" s="1"/>
  <c r="AL112" i="1"/>
  <c r="AL104" i="1" s="1"/>
  <c r="AL103" i="1" s="1"/>
  <c r="AK112" i="1"/>
  <c r="AJ112" i="1"/>
  <c r="AF112" i="1"/>
  <c r="AE112" i="1"/>
  <c r="Q112" i="1"/>
  <c r="P112" i="1"/>
  <c r="J112" i="1"/>
  <c r="BA111" i="1"/>
  <c r="AZ111" i="1"/>
  <c r="AY111" i="1" s="1"/>
  <c r="AX111" i="1"/>
  <c r="AT111" i="1"/>
  <c r="AR111" i="1"/>
  <c r="AM111" i="1"/>
  <c r="AK111" i="1"/>
  <c r="AJ111" i="1"/>
  <c r="AI111" i="1" s="1"/>
  <c r="AF111" i="1"/>
  <c r="AE111" i="1"/>
  <c r="Q111" i="1"/>
  <c r="P111" i="1"/>
  <c r="BF110" i="1"/>
  <c r="AZ110" i="1"/>
  <c r="AY110" i="1" s="1"/>
  <c r="AX110" i="1"/>
  <c r="AT110" i="1"/>
  <c r="AR110" i="1"/>
  <c r="AM110" i="1"/>
  <c r="AK110" i="1"/>
  <c r="AI110" i="1"/>
  <c r="AF110" i="1"/>
  <c r="AE110" i="1"/>
  <c r="R110" i="1"/>
  <c r="Q110" i="1"/>
  <c r="P110" i="1"/>
  <c r="J110" i="1"/>
  <c r="BF109" i="1"/>
  <c r="AZ109" i="1"/>
  <c r="AX109" i="1"/>
  <c r="AT109" i="1"/>
  <c r="AR109" i="1"/>
  <c r="AM109" i="1"/>
  <c r="R109" i="1"/>
  <c r="J109" i="1"/>
  <c r="AU108" i="1"/>
  <c r="AM108" i="1"/>
  <c r="AI108" i="1" s="1"/>
  <c r="AK108" i="1"/>
  <c r="AJ108" i="1"/>
  <c r="AF108" i="1"/>
  <c r="AS108" i="1" s="1"/>
  <c r="AE108" i="1"/>
  <c r="V108" i="1"/>
  <c r="AQ108" i="1" s="1"/>
  <c r="R108" i="1"/>
  <c r="Q108" i="1"/>
  <c r="P108" i="1"/>
  <c r="AU107" i="1"/>
  <c r="AT107" i="1" s="1"/>
  <c r="AM107" i="1"/>
  <c r="AI107" i="1" s="1"/>
  <c r="AK107" i="1"/>
  <c r="AJ107" i="1"/>
  <c r="AF107" i="1"/>
  <c r="AS107" i="1" s="1"/>
  <c r="AR107" i="1" s="1"/>
  <c r="AE107" i="1"/>
  <c r="V107" i="1"/>
  <c r="AQ107" i="1" s="1"/>
  <c r="R107" i="1"/>
  <c r="Q107" i="1"/>
  <c r="P107" i="1"/>
  <c r="BA106" i="1"/>
  <c r="AU106" i="1"/>
  <c r="AT106" i="1" s="1"/>
  <c r="AM106" i="1"/>
  <c r="AK106" i="1"/>
  <c r="AI106" i="1"/>
  <c r="AF106" i="1"/>
  <c r="AS106" i="1" s="1"/>
  <c r="AE106" i="1"/>
  <c r="V106" i="1"/>
  <c r="R106" i="1"/>
  <c r="Q106" i="1"/>
  <c r="P106" i="1"/>
  <c r="BF105" i="1"/>
  <c r="BA105" i="1"/>
  <c r="AT105" i="1"/>
  <c r="AQ105" i="1"/>
  <c r="AM105" i="1"/>
  <c r="AK105" i="1"/>
  <c r="AJ105" i="1"/>
  <c r="AF105" i="1"/>
  <c r="AS105" i="1" s="1"/>
  <c r="AE105" i="1"/>
  <c r="R105" i="1"/>
  <c r="Q105" i="1"/>
  <c r="P105" i="1"/>
  <c r="BD104" i="1"/>
  <c r="BD103" i="1" s="1"/>
  <c r="BC104" i="1"/>
  <c r="BC103" i="1" s="1"/>
  <c r="AW104" i="1"/>
  <c r="AW103" i="1" s="1"/>
  <c r="AV104" i="1"/>
  <c r="AV103" i="1" s="1"/>
  <c r="AP104" i="1"/>
  <c r="AP103" i="1" s="1"/>
  <c r="AO104" i="1"/>
  <c r="AO103" i="1" s="1"/>
  <c r="AN104" i="1"/>
  <c r="AN103" i="1" s="1"/>
  <c r="AH104" i="1"/>
  <c r="AH103" i="1" s="1"/>
  <c r="AG104" i="1"/>
  <c r="AG103" i="1" s="1"/>
  <c r="AD104" i="1"/>
  <c r="AD103" i="1" s="1"/>
  <c r="AC104" i="1"/>
  <c r="AC103" i="1" s="1"/>
  <c r="AB104" i="1"/>
  <c r="AB103" i="1" s="1"/>
  <c r="AA104" i="1"/>
  <c r="AA103" i="1" s="1"/>
  <c r="Z104" i="1"/>
  <c r="Z103" i="1" s="1"/>
  <c r="Y104" i="1"/>
  <c r="Y103" i="1" s="1"/>
  <c r="X104" i="1"/>
  <c r="X103" i="1" s="1"/>
  <c r="W104" i="1"/>
  <c r="W103" i="1" s="1"/>
  <c r="U104" i="1"/>
  <c r="U103" i="1" s="1"/>
  <c r="T104" i="1"/>
  <c r="T103" i="1" s="1"/>
  <c r="S104" i="1"/>
  <c r="S103" i="1" s="1"/>
  <c r="O104" i="1"/>
  <c r="O103" i="1" s="1"/>
  <c r="N104" i="1"/>
  <c r="N103" i="1" s="1"/>
  <c r="M104" i="1"/>
  <c r="M103" i="1" s="1"/>
  <c r="L104" i="1"/>
  <c r="L103" i="1" s="1"/>
  <c r="K104" i="1"/>
  <c r="K103" i="1" s="1"/>
  <c r="BA100" i="1"/>
  <c r="R100" i="1"/>
  <c r="J100" i="1"/>
  <c r="BA99" i="1"/>
  <c r="R99" i="1"/>
  <c r="J99" i="1"/>
  <c r="BA98" i="1"/>
  <c r="R98" i="1"/>
  <c r="J98" i="1"/>
  <c r="BA97" i="1"/>
  <c r="AY97" i="1"/>
  <c r="AX97" i="1" s="1"/>
  <c r="AT97" i="1"/>
  <c r="R97" i="1"/>
  <c r="J97" i="1"/>
  <c r="BA96" i="1"/>
  <c r="AZ96" i="1"/>
  <c r="AX96" i="1"/>
  <c r="AT96" i="1"/>
  <c r="R96" i="1"/>
  <c r="J96" i="1"/>
  <c r="BB95" i="1"/>
  <c r="AY95" i="1"/>
  <c r="R95" i="1"/>
  <c r="J95" i="1"/>
  <c r="BD94" i="1"/>
  <c r="BC94" i="1"/>
  <c r="AW94" i="1"/>
  <c r="AV94" i="1"/>
  <c r="AU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Q94" i="1"/>
  <c r="P94" i="1"/>
  <c r="O94" i="1"/>
  <c r="N94" i="1"/>
  <c r="M94" i="1"/>
  <c r="L94" i="1"/>
  <c r="K94" i="1"/>
  <c r="AZ93" i="1"/>
  <c r="BB93" i="1" s="1"/>
  <c r="BA93" i="1" s="1"/>
  <c r="AX93" i="1"/>
  <c r="AT93" i="1"/>
  <c r="AM93" i="1"/>
  <c r="AI93" i="1" s="1"/>
  <c r="AL93" i="1"/>
  <c r="AK93" i="1"/>
  <c r="AJ93" i="1"/>
  <c r="AF93" i="1"/>
  <c r="AE93" i="1"/>
  <c r="R93" i="1"/>
  <c r="Q93" i="1"/>
  <c r="P93" i="1"/>
  <c r="J93" i="1"/>
  <c r="J91" i="1" s="1"/>
  <c r="J90" i="1" s="1"/>
  <c r="AZ92" i="1"/>
  <c r="AX92" i="1"/>
  <c r="AT92" i="1"/>
  <c r="AR92" i="1"/>
  <c r="AR91" i="1" s="1"/>
  <c r="AR90" i="1" s="1"/>
  <c r="AM92" i="1"/>
  <c r="AI92" i="1" s="1"/>
  <c r="AL92" i="1"/>
  <c r="AK92" i="1"/>
  <c r="AJ92" i="1"/>
  <c r="AF92" i="1"/>
  <c r="AE92" i="1"/>
  <c r="R92" i="1"/>
  <c r="Q92" i="1"/>
  <c r="P92" i="1"/>
  <c r="BD91" i="1"/>
  <c r="BD90" i="1" s="1"/>
  <c r="BC91" i="1"/>
  <c r="BC90" i="1" s="1"/>
  <c r="AW91" i="1"/>
  <c r="AW90" i="1" s="1"/>
  <c r="AV91" i="1"/>
  <c r="AV90" i="1" s="1"/>
  <c r="AU91" i="1"/>
  <c r="AU90" i="1" s="1"/>
  <c r="AS91" i="1"/>
  <c r="AS90" i="1" s="1"/>
  <c r="AQ91" i="1"/>
  <c r="AQ90" i="1" s="1"/>
  <c r="AP91" i="1"/>
  <c r="AP90" i="1" s="1"/>
  <c r="AO91" i="1"/>
  <c r="AO90" i="1" s="1"/>
  <c r="AN91" i="1"/>
  <c r="AN90" i="1" s="1"/>
  <c r="AH91" i="1"/>
  <c r="AG91" i="1"/>
  <c r="AD91" i="1"/>
  <c r="AD90" i="1" s="1"/>
  <c r="AC91" i="1"/>
  <c r="AC90" i="1" s="1"/>
  <c r="AB91" i="1"/>
  <c r="AB90" i="1" s="1"/>
  <c r="AA91" i="1"/>
  <c r="AA90" i="1" s="1"/>
  <c r="Z91" i="1"/>
  <c r="Z90" i="1" s="1"/>
  <c r="Y91" i="1"/>
  <c r="Y90" i="1" s="1"/>
  <c r="X91" i="1"/>
  <c r="X90" i="1" s="1"/>
  <c r="W91" i="1"/>
  <c r="W90" i="1" s="1"/>
  <c r="V91" i="1"/>
  <c r="V90" i="1" s="1"/>
  <c r="U91" i="1"/>
  <c r="U90" i="1" s="1"/>
  <c r="T91" i="1"/>
  <c r="T90" i="1" s="1"/>
  <c r="S91" i="1"/>
  <c r="S90" i="1" s="1"/>
  <c r="O91" i="1"/>
  <c r="O90" i="1" s="1"/>
  <c r="N91" i="1"/>
  <c r="N90" i="1" s="1"/>
  <c r="M91" i="1"/>
  <c r="M90" i="1" s="1"/>
  <c r="L91" i="1"/>
  <c r="L90" i="1" s="1"/>
  <c r="K91" i="1"/>
  <c r="K90" i="1" s="1"/>
  <c r="AU89" i="1"/>
  <c r="AQ89" i="1"/>
  <c r="AM89" i="1"/>
  <c r="AI89" i="1" s="1"/>
  <c r="AL89" i="1"/>
  <c r="AK89" i="1"/>
  <c r="AJ89" i="1"/>
  <c r="AF89" i="1"/>
  <c r="AS89" i="1" s="1"/>
  <c r="AE89" i="1"/>
  <c r="R89" i="1"/>
  <c r="R87" i="1" s="1"/>
  <c r="Q89" i="1"/>
  <c r="P89" i="1"/>
  <c r="J89" i="1"/>
  <c r="J87" i="1" s="1"/>
  <c r="BA88" i="1"/>
  <c r="AT88" i="1"/>
  <c r="AM88" i="1"/>
  <c r="AL88" i="1"/>
  <c r="AK88" i="1"/>
  <c r="AJ88" i="1"/>
  <c r="AF88" i="1"/>
  <c r="AS88" i="1" s="1"/>
  <c r="AE88" i="1"/>
  <c r="Q88" i="1"/>
  <c r="P88" i="1"/>
  <c r="BD87" i="1"/>
  <c r="BC87" i="1"/>
  <c r="AW87" i="1"/>
  <c r="AV87" i="1"/>
  <c r="AP87" i="1"/>
  <c r="AO87" i="1"/>
  <c r="AN87" i="1"/>
  <c r="AH87" i="1"/>
  <c r="AG87" i="1"/>
  <c r="AD87" i="1"/>
  <c r="AC87" i="1"/>
  <c r="AB87" i="1"/>
  <c r="AA87" i="1"/>
  <c r="Z87" i="1"/>
  <c r="Y87" i="1"/>
  <c r="X87" i="1"/>
  <c r="W87" i="1"/>
  <c r="V87" i="1"/>
  <c r="U87" i="1"/>
  <c r="T87" i="1"/>
  <c r="S87" i="1"/>
  <c r="O87" i="1"/>
  <c r="N87" i="1"/>
  <c r="M87" i="1"/>
  <c r="L87" i="1"/>
  <c r="K87" i="1"/>
  <c r="AT86" i="1"/>
  <c r="AT85" i="1" s="1"/>
  <c r="AM86" i="1"/>
  <c r="AM85" i="1" s="1"/>
  <c r="AL86" i="1"/>
  <c r="AL85" i="1" s="1"/>
  <c r="AK86" i="1"/>
  <c r="AK85" i="1" s="1"/>
  <c r="AF86" i="1"/>
  <c r="AF85" i="1" s="1"/>
  <c r="AE86" i="1"/>
  <c r="AE85" i="1" s="1"/>
  <c r="V86" i="1"/>
  <c r="V85" i="1" s="1"/>
  <c r="Q86" i="1"/>
  <c r="Q85" i="1" s="1"/>
  <c r="P86" i="1"/>
  <c r="P85" i="1" s="1"/>
  <c r="N86" i="1"/>
  <c r="N85" i="1" s="1"/>
  <c r="K86" i="1"/>
  <c r="K85" i="1" s="1"/>
  <c r="BD85" i="1"/>
  <c r="BC85" i="1"/>
  <c r="AW85" i="1"/>
  <c r="AV85" i="1"/>
  <c r="AU85" i="1"/>
  <c r="AP85" i="1"/>
  <c r="AO85" i="1"/>
  <c r="AN85" i="1"/>
  <c r="AH85" i="1"/>
  <c r="AG85" i="1"/>
  <c r="AD85" i="1"/>
  <c r="AC85" i="1"/>
  <c r="AB85" i="1"/>
  <c r="AA85" i="1"/>
  <c r="Z85" i="1"/>
  <c r="Y85" i="1"/>
  <c r="X85" i="1"/>
  <c r="W85" i="1"/>
  <c r="U85" i="1"/>
  <c r="T85" i="1"/>
  <c r="S85" i="1"/>
  <c r="R85" i="1"/>
  <c r="O85" i="1"/>
  <c r="M85" i="1"/>
  <c r="L85" i="1"/>
  <c r="J85" i="1"/>
  <c r="AT83" i="1"/>
  <c r="AQ83" i="1"/>
  <c r="AX83" i="1" s="1"/>
  <c r="AK83" i="1"/>
  <c r="AI83" i="1"/>
  <c r="AF83" i="1"/>
  <c r="AS83" i="1" s="1"/>
  <c r="AE83" i="1"/>
  <c r="Q83" i="1"/>
  <c r="P83" i="1"/>
  <c r="BF82" i="1"/>
  <c r="AT82" i="1"/>
  <c r="AQ82" i="1"/>
  <c r="AX82" i="1" s="1"/>
  <c r="AM82" i="1"/>
  <c r="AL82" i="1"/>
  <c r="AL81" i="1" s="1"/>
  <c r="AL80" i="1" s="1"/>
  <c r="AK82" i="1"/>
  <c r="AJ82" i="1"/>
  <c r="AJ81" i="1" s="1"/>
  <c r="AJ80" i="1" s="1"/>
  <c r="AF82" i="1"/>
  <c r="AE82" i="1"/>
  <c r="R82" i="1"/>
  <c r="R81" i="1" s="1"/>
  <c r="R80" i="1" s="1"/>
  <c r="Q82" i="1"/>
  <c r="P82" i="1"/>
  <c r="J82" i="1"/>
  <c r="J81" i="1" s="1"/>
  <c r="J80" i="1" s="1"/>
  <c r="BD81" i="1"/>
  <c r="BD80" i="1" s="1"/>
  <c r="BC81" i="1"/>
  <c r="BC80" i="1" s="1"/>
  <c r="AW81" i="1"/>
  <c r="AW80" i="1" s="1"/>
  <c r="AV81" i="1"/>
  <c r="AV80" i="1" s="1"/>
  <c r="AU81" i="1"/>
  <c r="AU80" i="1" s="1"/>
  <c r="AP81" i="1"/>
  <c r="AP80" i="1" s="1"/>
  <c r="AO81" i="1"/>
  <c r="AO80" i="1" s="1"/>
  <c r="AN81" i="1"/>
  <c r="AN80" i="1" s="1"/>
  <c r="AH81" i="1"/>
  <c r="AG81" i="1"/>
  <c r="AD81" i="1"/>
  <c r="AD80" i="1" s="1"/>
  <c r="AC81" i="1"/>
  <c r="AC80" i="1" s="1"/>
  <c r="AB81" i="1"/>
  <c r="AB80" i="1" s="1"/>
  <c r="AA81" i="1"/>
  <c r="AA80" i="1" s="1"/>
  <c r="Z81" i="1"/>
  <c r="Z80" i="1" s="1"/>
  <c r="Y81" i="1"/>
  <c r="Y80" i="1" s="1"/>
  <c r="X81" i="1"/>
  <c r="X80" i="1" s="1"/>
  <c r="W81" i="1"/>
  <c r="W80" i="1" s="1"/>
  <c r="V81" i="1"/>
  <c r="V80" i="1" s="1"/>
  <c r="U81" i="1"/>
  <c r="U80" i="1" s="1"/>
  <c r="T81" i="1"/>
  <c r="T80" i="1" s="1"/>
  <c r="S81" i="1"/>
  <c r="S80" i="1" s="1"/>
  <c r="O81" i="1"/>
  <c r="O80" i="1" s="1"/>
  <c r="N81" i="1"/>
  <c r="N80" i="1" s="1"/>
  <c r="M81" i="1"/>
  <c r="M80" i="1" s="1"/>
  <c r="L81" i="1"/>
  <c r="L80" i="1" s="1"/>
  <c r="K81" i="1"/>
  <c r="K80" i="1" s="1"/>
  <c r="BA77" i="1"/>
  <c r="R77" i="1"/>
  <c r="J77" i="1"/>
  <c r="BA76" i="1"/>
  <c r="R76" i="1"/>
  <c r="J76" i="1"/>
  <c r="BA75" i="1"/>
  <c r="R75" i="1"/>
  <c r="J75" i="1"/>
  <c r="BD74" i="1"/>
  <c r="BD73" i="1" s="1"/>
  <c r="BC74" i="1"/>
  <c r="BC73" i="1" s="1"/>
  <c r="BB74" i="1"/>
  <c r="BB73" i="1" s="1"/>
  <c r="AZ74" i="1"/>
  <c r="AZ73" i="1" s="1"/>
  <c r="AY74" i="1"/>
  <c r="AY73" i="1" s="1"/>
  <c r="AX74" i="1"/>
  <c r="AX73" i="1" s="1"/>
  <c r="AW74" i="1"/>
  <c r="AW73" i="1" s="1"/>
  <c r="AV74" i="1"/>
  <c r="AV73" i="1" s="1"/>
  <c r="AU74" i="1"/>
  <c r="AU73" i="1" s="1"/>
  <c r="AT74" i="1"/>
  <c r="AT73" i="1" s="1"/>
  <c r="AS74" i="1"/>
  <c r="AS73" i="1" s="1"/>
  <c r="AR74" i="1"/>
  <c r="AR73" i="1" s="1"/>
  <c r="AQ74" i="1"/>
  <c r="AQ73" i="1" s="1"/>
  <c r="AP74" i="1"/>
  <c r="AP73" i="1" s="1"/>
  <c r="AO74" i="1"/>
  <c r="AO73" i="1" s="1"/>
  <c r="AN74" i="1"/>
  <c r="AN73" i="1" s="1"/>
  <c r="AM74" i="1"/>
  <c r="AM73" i="1" s="1"/>
  <c r="AL74" i="1"/>
  <c r="AL73" i="1" s="1"/>
  <c r="AK74" i="1"/>
  <c r="AK73" i="1" s="1"/>
  <c r="AJ74" i="1"/>
  <c r="AJ73" i="1" s="1"/>
  <c r="AI74" i="1"/>
  <c r="AI73" i="1" s="1"/>
  <c r="AH74" i="1"/>
  <c r="AH73" i="1" s="1"/>
  <c r="AG74" i="1"/>
  <c r="AG73" i="1" s="1"/>
  <c r="AF74" i="1"/>
  <c r="AF73" i="1" s="1"/>
  <c r="AE74" i="1"/>
  <c r="AE73" i="1" s="1"/>
  <c r="AD74" i="1"/>
  <c r="AD73" i="1" s="1"/>
  <c r="AC74" i="1"/>
  <c r="AC73" i="1" s="1"/>
  <c r="AB74" i="1"/>
  <c r="AB73" i="1" s="1"/>
  <c r="AA74" i="1"/>
  <c r="AA73" i="1" s="1"/>
  <c r="Z74" i="1"/>
  <c r="Z73" i="1" s="1"/>
  <c r="Y74" i="1"/>
  <c r="Y73" i="1" s="1"/>
  <c r="X74" i="1"/>
  <c r="X73" i="1" s="1"/>
  <c r="W74" i="1"/>
  <c r="W73" i="1" s="1"/>
  <c r="V74" i="1"/>
  <c r="V73" i="1" s="1"/>
  <c r="U74" i="1"/>
  <c r="U73" i="1" s="1"/>
  <c r="T74" i="1"/>
  <c r="T73" i="1" s="1"/>
  <c r="S74" i="1"/>
  <c r="S73" i="1" s="1"/>
  <c r="Q74" i="1"/>
  <c r="Q73" i="1" s="1"/>
  <c r="P74" i="1"/>
  <c r="P73" i="1" s="1"/>
  <c r="O74" i="1"/>
  <c r="O73" i="1" s="1"/>
  <c r="N74" i="1"/>
  <c r="N73" i="1" s="1"/>
  <c r="M74" i="1"/>
  <c r="M73" i="1" s="1"/>
  <c r="L74" i="1"/>
  <c r="L73" i="1" s="1"/>
  <c r="K74" i="1"/>
  <c r="K73" i="1" s="1"/>
  <c r="BA72" i="1"/>
  <c r="AY72" i="1"/>
  <c r="AX72" i="1" s="1"/>
  <c r="AR72" i="1"/>
  <c r="R72" i="1"/>
  <c r="BA71" i="1"/>
  <c r="AZ71" i="1"/>
  <c r="AY71" i="1" s="1"/>
  <c r="AX71" i="1"/>
  <c r="AT71" i="1"/>
  <c r="AM71" i="1"/>
  <c r="AI71" i="1" s="1"/>
  <c r="AL71" i="1"/>
  <c r="AK71" i="1"/>
  <c r="AJ71" i="1"/>
  <c r="AF71" i="1"/>
  <c r="AE71" i="1"/>
  <c r="J71" i="1"/>
  <c r="AU70" i="1"/>
  <c r="AZ70" i="1" s="1"/>
  <c r="BB70" i="1" s="1"/>
  <c r="BA70" i="1" s="1"/>
  <c r="R70" i="1"/>
  <c r="J70" i="1"/>
  <c r="AU69" i="1"/>
  <c r="AX69" i="1" s="1"/>
  <c r="AR69" i="1"/>
  <c r="R69" i="1"/>
  <c r="J69" i="1"/>
  <c r="BA68" i="1"/>
  <c r="AU68" i="1"/>
  <c r="AT68" i="1" s="1"/>
  <c r="AQ68" i="1"/>
  <c r="AM68" i="1"/>
  <c r="AI68" i="1" s="1"/>
  <c r="AL68" i="1"/>
  <c r="AK68" i="1"/>
  <c r="AJ68" i="1"/>
  <c r="AF68" i="1"/>
  <c r="AS68" i="1" s="1"/>
  <c r="AE68" i="1"/>
  <c r="R68" i="1"/>
  <c r="Q68" i="1"/>
  <c r="P68" i="1"/>
  <c r="AU67" i="1"/>
  <c r="AT67" i="1" s="1"/>
  <c r="AQ67" i="1"/>
  <c r="AM67" i="1"/>
  <c r="AL67" i="1"/>
  <c r="AK67" i="1"/>
  <c r="AI67" i="1"/>
  <c r="AF67" i="1"/>
  <c r="AS67" i="1" s="1"/>
  <c r="AE67" i="1"/>
  <c r="Q67" i="1"/>
  <c r="P67" i="1"/>
  <c r="J67" i="1"/>
  <c r="BA66" i="1"/>
  <c r="AT66" i="1"/>
  <c r="AN66" i="1"/>
  <c r="AM66" i="1" s="1"/>
  <c r="AE66" i="1"/>
  <c r="R66" i="1"/>
  <c r="BH65" i="1"/>
  <c r="BA65" i="1"/>
  <c r="AT65" i="1"/>
  <c r="AQ65" i="1"/>
  <c r="AX65" i="1" s="1"/>
  <c r="AM65" i="1"/>
  <c r="AL65" i="1"/>
  <c r="AK65" i="1"/>
  <c r="AI65" i="1"/>
  <c r="AF65" i="1"/>
  <c r="AS65" i="1" s="1"/>
  <c r="AE65" i="1"/>
  <c r="Q65" i="1"/>
  <c r="P65" i="1"/>
  <c r="BD64" i="1"/>
  <c r="BD63" i="1" s="1"/>
  <c r="BC64" i="1"/>
  <c r="BC63" i="1" s="1"/>
  <c r="AW64" i="1"/>
  <c r="AW63" i="1" s="1"/>
  <c r="AV64" i="1"/>
  <c r="AV63" i="1" s="1"/>
  <c r="AP64" i="1"/>
  <c r="AP63" i="1" s="1"/>
  <c r="AO64" i="1"/>
  <c r="AO63" i="1" s="1"/>
  <c r="AH64" i="1"/>
  <c r="AH63" i="1" s="1"/>
  <c r="AG64" i="1"/>
  <c r="AG63" i="1" s="1"/>
  <c r="AD64" i="1"/>
  <c r="AD63" i="1" s="1"/>
  <c r="AC64" i="1"/>
  <c r="AC63" i="1" s="1"/>
  <c r="AB64" i="1"/>
  <c r="AB63" i="1" s="1"/>
  <c r="AA64" i="1"/>
  <c r="AA63" i="1" s="1"/>
  <c r="Z64" i="1"/>
  <c r="Z63" i="1" s="1"/>
  <c r="Y64" i="1"/>
  <c r="Y63" i="1" s="1"/>
  <c r="X64" i="1"/>
  <c r="X63" i="1" s="1"/>
  <c r="W64" i="1"/>
  <c r="W63" i="1" s="1"/>
  <c r="V64" i="1"/>
  <c r="V63" i="1" s="1"/>
  <c r="U64" i="1"/>
  <c r="U63" i="1" s="1"/>
  <c r="T64" i="1"/>
  <c r="T63" i="1" s="1"/>
  <c r="S64" i="1"/>
  <c r="S63" i="1" s="1"/>
  <c r="O64" i="1"/>
  <c r="O63" i="1" s="1"/>
  <c r="N64" i="1"/>
  <c r="N63" i="1" s="1"/>
  <c r="M64" i="1"/>
  <c r="M63" i="1" s="1"/>
  <c r="L64" i="1"/>
  <c r="L63" i="1" s="1"/>
  <c r="K64" i="1"/>
  <c r="K63" i="1" s="1"/>
  <c r="BF62" i="1"/>
  <c r="AT62" i="1"/>
  <c r="AQ62" i="1"/>
  <c r="AX62" i="1" s="1"/>
  <c r="AX61" i="1" s="1"/>
  <c r="AX60" i="1" s="1"/>
  <c r="AM62" i="1"/>
  <c r="AL62" i="1"/>
  <c r="AL61" i="1" s="1"/>
  <c r="AL60" i="1" s="1"/>
  <c r="AK62" i="1"/>
  <c r="AK61" i="1" s="1"/>
  <c r="AK60" i="1" s="1"/>
  <c r="AJ62" i="1"/>
  <c r="AJ61" i="1" s="1"/>
  <c r="AJ60" i="1" s="1"/>
  <c r="AF62" i="1"/>
  <c r="AF61" i="1" s="1"/>
  <c r="AF60" i="1" s="1"/>
  <c r="AE62" i="1"/>
  <c r="AE61" i="1" s="1"/>
  <c r="AE60" i="1" s="1"/>
  <c r="R62" i="1"/>
  <c r="R61" i="1" s="1"/>
  <c r="R60" i="1" s="1"/>
  <c r="Q62" i="1"/>
  <c r="Q61" i="1" s="1"/>
  <c r="Q60" i="1" s="1"/>
  <c r="P62" i="1"/>
  <c r="P61" i="1" s="1"/>
  <c r="P60" i="1" s="1"/>
  <c r="BD61" i="1"/>
  <c r="BD60" i="1" s="1"/>
  <c r="BC61" i="1"/>
  <c r="BC60" i="1" s="1"/>
  <c r="AW61" i="1"/>
  <c r="AW60" i="1" s="1"/>
  <c r="AV61" i="1"/>
  <c r="AV60" i="1" s="1"/>
  <c r="AU61" i="1"/>
  <c r="AU60" i="1" s="1"/>
  <c r="AT61" i="1"/>
  <c r="AT60" i="1" s="1"/>
  <c r="AP61" i="1"/>
  <c r="AP60" i="1" s="1"/>
  <c r="AO61" i="1"/>
  <c r="AO60" i="1" s="1"/>
  <c r="AN61" i="1"/>
  <c r="AN60" i="1" s="1"/>
  <c r="AH61" i="1"/>
  <c r="AH60" i="1" s="1"/>
  <c r="AG61" i="1"/>
  <c r="AG60" i="1" s="1"/>
  <c r="AD61" i="1"/>
  <c r="AD60" i="1" s="1"/>
  <c r="AC61" i="1"/>
  <c r="AC60" i="1" s="1"/>
  <c r="AB61" i="1"/>
  <c r="AB60" i="1" s="1"/>
  <c r="AA61" i="1"/>
  <c r="AA60" i="1" s="1"/>
  <c r="Z61" i="1"/>
  <c r="Z60" i="1" s="1"/>
  <c r="Y61" i="1"/>
  <c r="Y60" i="1" s="1"/>
  <c r="X61" i="1"/>
  <c r="X60" i="1" s="1"/>
  <c r="W61" i="1"/>
  <c r="W60" i="1" s="1"/>
  <c r="V61" i="1"/>
  <c r="V60" i="1" s="1"/>
  <c r="U61" i="1"/>
  <c r="U60" i="1" s="1"/>
  <c r="T61" i="1"/>
  <c r="T60" i="1" s="1"/>
  <c r="S61" i="1"/>
  <c r="S60" i="1" s="1"/>
  <c r="O61" i="1"/>
  <c r="O60" i="1" s="1"/>
  <c r="N61" i="1"/>
  <c r="N60" i="1" s="1"/>
  <c r="M61" i="1"/>
  <c r="M60" i="1" s="1"/>
  <c r="L61" i="1"/>
  <c r="L60" i="1" s="1"/>
  <c r="K61" i="1"/>
  <c r="K60" i="1" s="1"/>
  <c r="J61" i="1"/>
  <c r="J60" i="1" s="1"/>
  <c r="BB58" i="1"/>
  <c r="BA56" i="1"/>
  <c r="BA54" i="1"/>
  <c r="AM54" i="1"/>
  <c r="BA53" i="1"/>
  <c r="BA52" i="1"/>
  <c r="BA51" i="1"/>
  <c r="AM51" i="1"/>
  <c r="AI51" i="1" s="1"/>
  <c r="AL51" i="1"/>
  <c r="AK51" i="1"/>
  <c r="AJ51" i="1"/>
  <c r="AF51" i="1"/>
  <c r="AE51" i="1"/>
  <c r="Q51" i="1"/>
  <c r="P51" i="1"/>
  <c r="BA50" i="1"/>
  <c r="AM50" i="1"/>
  <c r="AI50" i="1" s="1"/>
  <c r="AL50" i="1"/>
  <c r="AK50" i="1"/>
  <c r="AJ50" i="1"/>
  <c r="AF50" i="1"/>
  <c r="AE50" i="1"/>
  <c r="Q50" i="1"/>
  <c r="P50" i="1"/>
  <c r="BA49" i="1"/>
  <c r="AM49" i="1"/>
  <c r="AI49" i="1" s="1"/>
  <c r="AL49" i="1"/>
  <c r="AK49" i="1"/>
  <c r="AJ49" i="1"/>
  <c r="AF49" i="1"/>
  <c r="AE49" i="1"/>
  <c r="Q49" i="1"/>
  <c r="P49" i="1"/>
  <c r="BD48" i="1"/>
  <c r="BC48" i="1"/>
  <c r="BB48" i="1"/>
  <c r="AZ48" i="1"/>
  <c r="AY48" i="1"/>
  <c r="AX48" i="1"/>
  <c r="AW48" i="1"/>
  <c r="AV48" i="1"/>
  <c r="AT48" i="1"/>
  <c r="AS48" i="1"/>
  <c r="AR48" i="1"/>
  <c r="AQ48" i="1"/>
  <c r="AP48" i="1"/>
  <c r="AO48" i="1"/>
  <c r="AN48" i="1"/>
  <c r="AH48" i="1"/>
  <c r="AG48" i="1"/>
  <c r="AD48" i="1"/>
  <c r="AC48" i="1"/>
  <c r="AB48" i="1"/>
  <c r="AA48" i="1"/>
  <c r="BA47" i="1"/>
  <c r="AT47" i="1"/>
  <c r="AR47" i="1"/>
  <c r="AQ47" i="1" s="1"/>
  <c r="AM47" i="1"/>
  <c r="AF47" i="1"/>
  <c r="AE47" i="1" s="1"/>
  <c r="BA46" i="1"/>
  <c r="AT46" i="1"/>
  <c r="AR46" i="1"/>
  <c r="AQ46" i="1" s="1"/>
  <c r="AM46" i="1"/>
  <c r="AF46" i="1"/>
  <c r="AE46" i="1" s="1"/>
  <c r="AM45" i="1"/>
  <c r="AF44" i="1"/>
  <c r="AE44" i="1"/>
  <c r="V43" i="1"/>
  <c r="V42" i="1" s="1"/>
  <c r="AF40" i="1"/>
  <c r="AE40" i="1"/>
  <c r="AF39" i="1"/>
  <c r="AE39" i="1"/>
  <c r="S39" i="1"/>
  <c r="AF38" i="1"/>
  <c r="AE38" i="1"/>
  <c r="AF37" i="1"/>
  <c r="AE37" i="1"/>
  <c r="AF36" i="1"/>
  <c r="AE36" i="1"/>
  <c r="I36" i="1"/>
  <c r="H36" i="1"/>
  <c r="AF35" i="1"/>
  <c r="AE35" i="1"/>
  <c r="I35" i="1"/>
  <c r="H35" i="1"/>
  <c r="G35" i="1"/>
  <c r="AF34" i="1"/>
  <c r="AE34" i="1"/>
  <c r="I34" i="1"/>
  <c r="H34" i="1"/>
  <c r="G34" i="1"/>
  <c r="G37" i="1" s="1"/>
  <c r="BE33" i="1"/>
  <c r="AF33" i="1"/>
  <c r="AE33" i="1"/>
  <c r="BE32" i="1"/>
  <c r="AF32" i="1"/>
  <c r="AE32" i="1"/>
  <c r="AF31" i="1"/>
  <c r="AE31" i="1"/>
  <c r="AF29" i="1"/>
  <c r="AE29" i="1"/>
  <c r="AF27" i="1"/>
  <c r="AE27" i="1"/>
  <c r="AE26" i="1"/>
  <c r="AB26" i="1"/>
  <c r="AB23" i="1" s="1"/>
  <c r="AF23" i="1" s="1"/>
  <c r="AF25" i="1"/>
  <c r="AE25" i="1"/>
  <c r="AF24" i="1"/>
  <c r="AE24" i="1"/>
  <c r="AE23" i="1"/>
  <c r="AF22" i="1"/>
  <c r="AE22" i="1"/>
  <c r="AF21" i="1"/>
  <c r="AE21" i="1"/>
  <c r="AF20" i="1"/>
  <c r="AE20" i="1"/>
  <c r="BE19" i="1"/>
  <c r="BE18" i="1" s="1"/>
  <c r="BE17" i="1" s="1"/>
  <c r="AF19" i="1"/>
  <c r="AE19" i="1"/>
  <c r="AE18" i="1"/>
  <c r="AD18" i="1"/>
  <c r="AD17" i="1" s="1"/>
  <c r="AC18" i="1"/>
  <c r="AC17" i="1" s="1"/>
  <c r="AB18" i="1"/>
  <c r="AC26" i="1" s="1"/>
  <c r="X18" i="1"/>
  <c r="X17" i="1" s="1"/>
  <c r="X16" i="1" s="1"/>
  <c r="S18" i="1"/>
  <c r="S17" i="1" s="1"/>
  <c r="S16" i="1" s="1"/>
  <c r="AE17" i="1"/>
  <c r="AE16" i="1"/>
  <c r="BC119" i="1" l="1"/>
  <c r="AL102" i="1"/>
  <c r="AK306" i="1"/>
  <c r="AK47" i="1" s="1"/>
  <c r="AH102" i="1"/>
  <c r="BD84" i="1"/>
  <c r="BD79" i="1" s="1"/>
  <c r="AN84" i="1"/>
  <c r="AN79" i="1" s="1"/>
  <c r="AB119" i="1"/>
  <c r="V119" i="1"/>
  <c r="AG135" i="1"/>
  <c r="AL119" i="1"/>
  <c r="AD119" i="1"/>
  <c r="M119" i="1"/>
  <c r="Z84" i="1"/>
  <c r="Z79" i="1" s="1"/>
  <c r="AO84" i="1"/>
  <c r="AO79" i="1" s="1"/>
  <c r="AK91" i="1"/>
  <c r="AK90" i="1" s="1"/>
  <c r="Q218" i="1"/>
  <c r="AL87" i="1"/>
  <c r="AE81" i="1"/>
  <c r="AE80" i="1" s="1"/>
  <c r="BD102" i="1"/>
  <c r="U119" i="1"/>
  <c r="BC84" i="1"/>
  <c r="BC79" i="1" s="1"/>
  <c r="AC119" i="1"/>
  <c r="AF121" i="1"/>
  <c r="AF120" i="1" s="1"/>
  <c r="AF119" i="1" s="1"/>
  <c r="AZ91" i="1"/>
  <c r="AZ90" i="1" s="1"/>
  <c r="K84" i="1"/>
  <c r="N102" i="1"/>
  <c r="AT81" i="1"/>
  <c r="AT80" i="1" s="1"/>
  <c r="AB84" i="1"/>
  <c r="AB79" i="1" s="1"/>
  <c r="AK87" i="1"/>
  <c r="AK84" i="1" s="1"/>
  <c r="J64" i="1"/>
  <c r="J63" i="1" s="1"/>
  <c r="S84" i="1"/>
  <c r="S79" i="1" s="1"/>
  <c r="AF197" i="1"/>
  <c r="AF196" i="1" s="1"/>
  <c r="AF191" i="1" s="1"/>
  <c r="AE91" i="1"/>
  <c r="AE90" i="1" s="1"/>
  <c r="AX123" i="1"/>
  <c r="AX121" i="1" s="1"/>
  <c r="AX120" i="1" s="1"/>
  <c r="AX119" i="1" s="1"/>
  <c r="AX108" i="1"/>
  <c r="U84" i="1"/>
  <c r="U79" i="1" s="1"/>
  <c r="AW84" i="1"/>
  <c r="AW79" i="1" s="1"/>
  <c r="AO155" i="1"/>
  <c r="AG155" i="1"/>
  <c r="AG119" i="1"/>
  <c r="P218" i="1"/>
  <c r="R84" i="1"/>
  <c r="J199" i="1"/>
  <c r="J191" i="1" s="1"/>
  <c r="M84" i="1"/>
  <c r="M79" i="1" s="1"/>
  <c r="AP102" i="1"/>
  <c r="AN64" i="1"/>
  <c r="AN63" i="1" s="1"/>
  <c r="AN59" i="1" s="1"/>
  <c r="Z102" i="1"/>
  <c r="N119" i="1"/>
  <c r="AR237" i="1"/>
  <c r="AR234" i="1" s="1"/>
  <c r="AV84" i="1"/>
  <c r="AV79" i="1" s="1"/>
  <c r="Q87" i="1"/>
  <c r="Q84" i="1" s="1"/>
  <c r="AW102" i="1"/>
  <c r="AG102" i="1"/>
  <c r="AH135" i="1"/>
  <c r="W84" i="1"/>
  <c r="W79" i="1" s="1"/>
  <c r="AG84" i="1"/>
  <c r="AG79" i="1" s="1"/>
  <c r="AA135" i="1"/>
  <c r="AW155" i="1"/>
  <c r="AH155" i="1"/>
  <c r="K191" i="1"/>
  <c r="AB191" i="1"/>
  <c r="R208" i="1"/>
  <c r="R207" i="1" s="1"/>
  <c r="R206" i="1" s="1"/>
  <c r="L218" i="1"/>
  <c r="U252" i="1"/>
  <c r="U247" i="1" s="1"/>
  <c r="AD252" i="1"/>
  <c r="AD247" i="1" s="1"/>
  <c r="J256" i="1"/>
  <c r="J252" i="1" s="1"/>
  <c r="BB314" i="1"/>
  <c r="BA314" i="1" s="1"/>
  <c r="M102" i="1"/>
  <c r="AN102" i="1"/>
  <c r="AU121" i="1"/>
  <c r="AU120" i="1" s="1"/>
  <c r="AU119" i="1" s="1"/>
  <c r="AC191" i="1"/>
  <c r="BC191" i="1"/>
  <c r="AE256" i="1"/>
  <c r="T155" i="1"/>
  <c r="AD218" i="1"/>
  <c r="L252" i="1"/>
  <c r="L247" i="1" s="1"/>
  <c r="X102" i="1"/>
  <c r="AW135" i="1"/>
  <c r="AU140" i="1"/>
  <c r="AU139" i="1" s="1"/>
  <c r="AU135" i="1" s="1"/>
  <c r="AX143" i="1"/>
  <c r="N191" i="1"/>
  <c r="R199" i="1"/>
  <c r="R191" i="1" s="1"/>
  <c r="AV102" i="1"/>
  <c r="AJ104" i="1"/>
  <c r="AJ103" i="1" s="1"/>
  <c r="AJ102" i="1" s="1"/>
  <c r="AC84" i="1"/>
  <c r="AC79" i="1" s="1"/>
  <c r="BC102" i="1"/>
  <c r="AD102" i="1"/>
  <c r="AN119" i="1"/>
  <c r="AX166" i="1"/>
  <c r="AN191" i="1"/>
  <c r="AN218" i="1"/>
  <c r="Y102" i="1"/>
  <c r="AJ162" i="1"/>
  <c r="AJ161" i="1" s="1"/>
  <c r="AJ155" i="1" s="1"/>
  <c r="AZ166" i="1"/>
  <c r="AY166" i="1" s="1"/>
  <c r="BA302" i="1"/>
  <c r="AL218" i="1"/>
  <c r="BB110" i="1"/>
  <c r="BA110" i="1" s="1"/>
  <c r="L119" i="1"/>
  <c r="BA149" i="1"/>
  <c r="AS180" i="1"/>
  <c r="AR180" i="1" s="1"/>
  <c r="P191" i="1"/>
  <c r="Q253" i="1"/>
  <c r="AO102" i="1"/>
  <c r="AJ91" i="1"/>
  <c r="AJ90" i="1" s="1"/>
  <c r="T59" i="1"/>
  <c r="Q81" i="1"/>
  <c r="Q80" i="1" s="1"/>
  <c r="P87" i="1"/>
  <c r="P84" i="1" s="1"/>
  <c r="X84" i="1"/>
  <c r="X79" i="1" s="1"/>
  <c r="AX107" i="1"/>
  <c r="AE121" i="1"/>
  <c r="AE120" i="1" s="1"/>
  <c r="AE119" i="1" s="1"/>
  <c r="AS138" i="1"/>
  <c r="AZ138" i="1" s="1"/>
  <c r="AA191" i="1"/>
  <c r="R278" i="1"/>
  <c r="J237" i="1"/>
  <c r="J234" i="1" s="1"/>
  <c r="AX309" i="1"/>
  <c r="AX307" i="1" s="1"/>
  <c r="AX306" i="1" s="1"/>
  <c r="J74" i="1"/>
  <c r="J73" i="1" s="1"/>
  <c r="R125" i="1"/>
  <c r="AA252" i="1"/>
  <c r="AA247" i="1" s="1"/>
  <c r="AS66" i="1"/>
  <c r="AZ66" i="1" s="1"/>
  <c r="AY66" i="1" s="1"/>
  <c r="P121" i="1"/>
  <c r="P120" i="1" s="1"/>
  <c r="P119" i="1" s="1"/>
  <c r="P140" i="1"/>
  <c r="P139" i="1" s="1"/>
  <c r="P135" i="1" s="1"/>
  <c r="BF166" i="1"/>
  <c r="AB17" i="1"/>
  <c r="AF17" i="1" s="1"/>
  <c r="R121" i="1"/>
  <c r="R120" i="1" s="1"/>
  <c r="R318" i="1"/>
  <c r="AF325" i="1"/>
  <c r="M135" i="1"/>
  <c r="AE218" i="1"/>
  <c r="S59" i="1"/>
  <c r="AY70" i="1"/>
  <c r="T84" i="1"/>
  <c r="T79" i="1" s="1"/>
  <c r="AP84" i="1"/>
  <c r="AP79" i="1" s="1"/>
  <c r="AA102" i="1"/>
  <c r="Q104" i="1"/>
  <c r="Q103" i="1" s="1"/>
  <c r="Q102" i="1" s="1"/>
  <c r="BA113" i="1"/>
  <c r="AK140" i="1"/>
  <c r="AK139" i="1" s="1"/>
  <c r="AK135" i="1" s="1"/>
  <c r="L155" i="1"/>
  <c r="AG218" i="1"/>
  <c r="AK256" i="1"/>
  <c r="BA293" i="1"/>
  <c r="L84" i="1"/>
  <c r="L79" i="1" s="1"/>
  <c r="S102" i="1"/>
  <c r="AB102" i="1"/>
  <c r="Y135" i="1"/>
  <c r="AP155" i="1"/>
  <c r="M191" i="1"/>
  <c r="AK253" i="1"/>
  <c r="AK252" i="1" s="1"/>
  <c r="AK247" i="1" s="1"/>
  <c r="AT253" i="1"/>
  <c r="R64" i="1"/>
  <c r="R63" i="1" s="1"/>
  <c r="AX94" i="1"/>
  <c r="T102" i="1"/>
  <c r="AK121" i="1"/>
  <c r="AK120" i="1" s="1"/>
  <c r="AK119" i="1" s="1"/>
  <c r="AC135" i="1"/>
  <c r="K140" i="1"/>
  <c r="K139" i="1" s="1"/>
  <c r="S191" i="1"/>
  <c r="Q208" i="1"/>
  <c r="Q207" i="1" s="1"/>
  <c r="Q206" i="1" s="1"/>
  <c r="X252" i="1"/>
  <c r="X247" i="1" s="1"/>
  <c r="O218" i="1"/>
  <c r="AF64" i="1"/>
  <c r="AF63" i="1" s="1"/>
  <c r="AF59" i="1" s="1"/>
  <c r="O84" i="1"/>
  <c r="O79" i="1" s="1"/>
  <c r="V84" i="1"/>
  <c r="V79" i="1" s="1"/>
  <c r="AL91" i="1"/>
  <c r="AL90" i="1" s="1"/>
  <c r="J125" i="1"/>
  <c r="J119" i="1" s="1"/>
  <c r="S135" i="1"/>
  <c r="O155" i="1"/>
  <c r="AQ157" i="1"/>
  <c r="AQ156" i="1" s="1"/>
  <c r="P208" i="1"/>
  <c r="P207" i="1" s="1"/>
  <c r="P206" i="1" s="1"/>
  <c r="AF231" i="1"/>
  <c r="AF230" i="1" s="1"/>
  <c r="V306" i="1"/>
  <c r="AD306" i="1"/>
  <c r="AL306" i="1"/>
  <c r="AL47" i="1" s="1"/>
  <c r="AT306" i="1"/>
  <c r="AG59" i="1"/>
  <c r="AL64" i="1"/>
  <c r="AL63" i="1" s="1"/>
  <c r="AL59" i="1" s="1"/>
  <c r="AA59" i="1"/>
  <c r="Y84" i="1"/>
  <c r="Y79" i="1" s="1"/>
  <c r="AH84" i="1"/>
  <c r="AH79" i="1" s="1"/>
  <c r="K102" i="1"/>
  <c r="AU104" i="1"/>
  <c r="AU103" i="1" s="1"/>
  <c r="AU102" i="1" s="1"/>
  <c r="T119" i="1"/>
  <c r="AS157" i="1"/>
  <c r="AS156" i="1" s="1"/>
  <c r="V191" i="1"/>
  <c r="AD191" i="1"/>
  <c r="AF256" i="1"/>
  <c r="BB318" i="1"/>
  <c r="X59" i="1"/>
  <c r="AQ66" i="1"/>
  <c r="AQ64" i="1" s="1"/>
  <c r="AQ63" i="1" s="1"/>
  <c r="BA125" i="1"/>
  <c r="AO135" i="1"/>
  <c r="BA140" i="1"/>
  <c r="BA139" i="1" s="1"/>
  <c r="AL140" i="1"/>
  <c r="AL139" i="1" s="1"/>
  <c r="AL135" i="1" s="1"/>
  <c r="BD191" i="1"/>
  <c r="J208" i="1"/>
  <c r="J207" i="1" s="1"/>
  <c r="J206" i="1" s="1"/>
  <c r="AW218" i="1"/>
  <c r="AT223" i="1"/>
  <c r="AT222" i="1" s="1"/>
  <c r="AQ248" i="1"/>
  <c r="AY264" i="1"/>
  <c r="J293" i="1"/>
  <c r="J289" i="1" s="1"/>
  <c r="AM64" i="1"/>
  <c r="AM63" i="1" s="1"/>
  <c r="AB155" i="1"/>
  <c r="AQ61" i="1"/>
  <c r="AQ60" i="1" s="1"/>
  <c r="AF26" i="1"/>
  <c r="AE48" i="1"/>
  <c r="AF48" i="1"/>
  <c r="R74" i="1"/>
  <c r="R73" i="1" s="1"/>
  <c r="AZ89" i="1"/>
  <c r="AY89" i="1" s="1"/>
  <c r="R104" i="1"/>
  <c r="R103" i="1" s="1"/>
  <c r="AZ106" i="1"/>
  <c r="AY106" i="1" s="1"/>
  <c r="AH119" i="1"/>
  <c r="AJ121" i="1"/>
  <c r="AJ120" i="1" s="1"/>
  <c r="AJ119" i="1" s="1"/>
  <c r="AQ131" i="1"/>
  <c r="AQ130" i="1" s="1"/>
  <c r="AQ129" i="1" s="1"/>
  <c r="R149" i="1"/>
  <c r="AZ164" i="1"/>
  <c r="AY164" i="1" s="1"/>
  <c r="AI179" i="1"/>
  <c r="AI178" i="1" s="1"/>
  <c r="AI174" i="1" s="1"/>
  <c r="X191" i="1"/>
  <c r="Z218" i="1"/>
  <c r="N252" i="1"/>
  <c r="N247" i="1" s="1"/>
  <c r="AN252" i="1"/>
  <c r="AN247" i="1" s="1"/>
  <c r="BD252" i="1"/>
  <c r="BD247" i="1" s="1"/>
  <c r="J266" i="1"/>
  <c r="J265" i="1" s="1"/>
  <c r="BB267" i="1"/>
  <c r="BA267" i="1" s="1"/>
  <c r="T306" i="1"/>
  <c r="AB306" i="1"/>
  <c r="AJ306" i="1"/>
  <c r="AJ47" i="1" s="1"/>
  <c r="AR306" i="1"/>
  <c r="AY309" i="1"/>
  <c r="AY307" i="1" s="1"/>
  <c r="P64" i="1"/>
  <c r="P63" i="1" s="1"/>
  <c r="P59" i="1" s="1"/>
  <c r="AL84" i="1"/>
  <c r="Z119" i="1"/>
  <c r="BA131" i="1"/>
  <c r="BA130" i="1" s="1"/>
  <c r="BA129" i="1" s="1"/>
  <c r="AL162" i="1"/>
  <c r="AL161" i="1" s="1"/>
  <c r="AL155" i="1" s="1"/>
  <c r="AK191" i="1"/>
  <c r="AM223" i="1"/>
  <c r="AM222" i="1" s="1"/>
  <c r="AM218" i="1" s="1"/>
  <c r="AX249" i="1"/>
  <c r="AX248" i="1" s="1"/>
  <c r="O252" i="1"/>
  <c r="O247" i="1" s="1"/>
  <c r="AO252" i="1"/>
  <c r="AO247" i="1" s="1"/>
  <c r="P253" i="1"/>
  <c r="AV252" i="1"/>
  <c r="AV247" i="1" s="1"/>
  <c r="AB289" i="1"/>
  <c r="K306" i="1"/>
  <c r="U306" i="1"/>
  <c r="AC306" i="1"/>
  <c r="AS306" i="1"/>
  <c r="BA318" i="1"/>
  <c r="AJ325" i="1"/>
  <c r="G33" i="1"/>
  <c r="AA84" i="1"/>
  <c r="AA79" i="1" s="1"/>
  <c r="U135" i="1"/>
  <c r="AC155" i="1"/>
  <c r="BD155" i="1"/>
  <c r="AV191" i="1"/>
  <c r="AK208" i="1"/>
  <c r="AK207" i="1" s="1"/>
  <c r="AK206" i="1" s="1"/>
  <c r="N218" i="1"/>
  <c r="U218" i="1"/>
  <c r="BB324" i="1"/>
  <c r="BD59" i="1"/>
  <c r="BA95" i="1"/>
  <c r="BA94" i="1" s="1"/>
  <c r="BB94" i="1"/>
  <c r="R94" i="1"/>
  <c r="AP119" i="1"/>
  <c r="AD155" i="1"/>
  <c r="N155" i="1"/>
  <c r="AM191" i="1"/>
  <c r="AL208" i="1"/>
  <c r="AL207" i="1" s="1"/>
  <c r="AL206" i="1" s="1"/>
  <c r="AO218" i="1"/>
  <c r="AF248" i="1"/>
  <c r="AB252" i="1"/>
  <c r="AB247" i="1" s="1"/>
  <c r="AJ253" i="1"/>
  <c r="AH252" i="1"/>
  <c r="AH247" i="1" s="1"/>
  <c r="AF306" i="1"/>
  <c r="AN306" i="1"/>
  <c r="AE64" i="1"/>
  <c r="AE63" i="1" s="1"/>
  <c r="AE59" i="1" s="1"/>
  <c r="BA74" i="1"/>
  <c r="BA73" i="1" s="1"/>
  <c r="AF81" i="1"/>
  <c r="AF80" i="1" s="1"/>
  <c r="AT94" i="1"/>
  <c r="J113" i="1"/>
  <c r="BC135" i="1"/>
  <c r="R140" i="1"/>
  <c r="R139" i="1" s="1"/>
  <c r="J162" i="1"/>
  <c r="J161" i="1" s="1"/>
  <c r="J155" i="1" s="1"/>
  <c r="BB185" i="1"/>
  <c r="AH218" i="1"/>
  <c r="AL231" i="1"/>
  <c r="AL230" i="1" s="1"/>
  <c r="T252" i="1"/>
  <c r="T247" i="1" s="1"/>
  <c r="N306" i="1"/>
  <c r="P306" i="1"/>
  <c r="AF104" i="1"/>
  <c r="AF103" i="1" s="1"/>
  <c r="AF102" i="1" s="1"/>
  <c r="Z135" i="1"/>
  <c r="AZ159" i="1"/>
  <c r="AY159" i="1" s="1"/>
  <c r="AY157" i="1" s="1"/>
  <c r="AY156" i="1" s="1"/>
  <c r="AX164" i="1"/>
  <c r="AF223" i="1"/>
  <c r="AF222" i="1" s="1"/>
  <c r="AF218" i="1" s="1"/>
  <c r="J223" i="1"/>
  <c r="J222" i="1" s="1"/>
  <c r="J218" i="1" s="1"/>
  <c r="AZ237" i="1"/>
  <c r="AZ234" i="1" s="1"/>
  <c r="AX237" i="1"/>
  <c r="AX234" i="1" s="1"/>
  <c r="K252" i="1"/>
  <c r="K247" i="1" s="1"/>
  <c r="AW252" i="1"/>
  <c r="AW247" i="1" s="1"/>
  <c r="BB293" i="1"/>
  <c r="R302" i="1"/>
  <c r="AV59" i="1"/>
  <c r="AJ86" i="1"/>
  <c r="AX89" i="1"/>
  <c r="Q91" i="1"/>
  <c r="Q90" i="1" s="1"/>
  <c r="AT108" i="1"/>
  <c r="AT104" i="1" s="1"/>
  <c r="AT103" i="1" s="1"/>
  <c r="AT102" i="1" s="1"/>
  <c r="AQ138" i="1"/>
  <c r="AX138" i="1" s="1"/>
  <c r="AX137" i="1" s="1"/>
  <c r="AX136" i="1" s="1"/>
  <c r="AJ218" i="1"/>
  <c r="S322" i="1"/>
  <c r="AL179" i="1"/>
  <c r="AL178" i="1" s="1"/>
  <c r="AL174" i="1" s="1"/>
  <c r="AE179" i="1"/>
  <c r="AE178" i="1" s="1"/>
  <c r="AE174" i="1" s="1"/>
  <c r="AE162" i="1"/>
  <c r="AE161" i="1" s="1"/>
  <c r="AE155" i="1" s="1"/>
  <c r="Q162" i="1"/>
  <c r="Q161" i="1" s="1"/>
  <c r="Q155" i="1" s="1"/>
  <c r="M155" i="1"/>
  <c r="Y155" i="1"/>
  <c r="P162" i="1"/>
  <c r="P161" i="1" s="1"/>
  <c r="P155" i="1" s="1"/>
  <c r="Y59" i="1"/>
  <c r="V59" i="1"/>
  <c r="AD59" i="1"/>
  <c r="K59" i="1"/>
  <c r="AI64" i="1"/>
  <c r="AI63" i="1" s="1"/>
  <c r="AZ67" i="1"/>
  <c r="AY67" i="1" s="1"/>
  <c r="AR67" i="1"/>
  <c r="L59" i="1"/>
  <c r="N59" i="1"/>
  <c r="AR65" i="1"/>
  <c r="AZ65" i="1"/>
  <c r="AY65" i="1" s="1"/>
  <c r="AI254" i="1"/>
  <c r="AI253" i="1" s="1"/>
  <c r="AM253" i="1"/>
  <c r="AE43" i="1"/>
  <c r="AX68" i="1"/>
  <c r="BC59" i="1"/>
  <c r="AS141" i="1"/>
  <c r="AZ141" i="1" s="1"/>
  <c r="AF140" i="1"/>
  <c r="AF139" i="1" s="1"/>
  <c r="AF135" i="1" s="1"/>
  <c r="AR255" i="1"/>
  <c r="AR253" i="1" s="1"/>
  <c r="AE253" i="1"/>
  <c r="AE252" i="1" s="1"/>
  <c r="AE247" i="1" s="1"/>
  <c r="AF43" i="1"/>
  <c r="AJ48" i="1"/>
  <c r="Z59" i="1"/>
  <c r="AW59" i="1"/>
  <c r="AZ68" i="1"/>
  <c r="AY68" i="1" s="1"/>
  <c r="AC102" i="1"/>
  <c r="O119" i="1"/>
  <c r="U155" i="1"/>
  <c r="AR221" i="1"/>
  <c r="AR220" i="1" s="1"/>
  <c r="AR219" i="1" s="1"/>
  <c r="AR218" i="1" s="1"/>
  <c r="AS220" i="1"/>
  <c r="AS219" i="1" s="1"/>
  <c r="AZ306" i="1"/>
  <c r="AL48" i="1"/>
  <c r="AL42" i="1" s="1"/>
  <c r="AK48" i="1"/>
  <c r="W59" i="1"/>
  <c r="BF68" i="1"/>
  <c r="AT70" i="1"/>
  <c r="AJ64" i="1"/>
  <c r="AJ63" i="1" s="1"/>
  <c r="AJ59" i="1" s="1"/>
  <c r="AH191" i="1"/>
  <c r="K218" i="1"/>
  <c r="AO59" i="1"/>
  <c r="AS132" i="1"/>
  <c r="AZ132" i="1" s="1"/>
  <c r="AY132" i="1" s="1"/>
  <c r="AY131" i="1" s="1"/>
  <c r="AY130" i="1" s="1"/>
  <c r="AY129" i="1" s="1"/>
  <c r="AF131" i="1"/>
  <c r="AF130" i="1" s="1"/>
  <c r="AF129" i="1" s="1"/>
  <c r="AY259" i="1"/>
  <c r="AX259" i="1" s="1"/>
  <c r="BB259" i="1"/>
  <c r="BA259" i="1" s="1"/>
  <c r="AF18" i="1"/>
  <c r="AM48" i="1"/>
  <c r="BA48" i="1"/>
  <c r="AI48" i="1"/>
  <c r="AP59" i="1"/>
  <c r="AX67" i="1"/>
  <c r="AX70" i="1"/>
  <c r="T135" i="1"/>
  <c r="AB135" i="1"/>
  <c r="BB237" i="1"/>
  <c r="BB234" i="1" s="1"/>
  <c r="BA239" i="1"/>
  <c r="BA237" i="1" s="1"/>
  <c r="BA234" i="1" s="1"/>
  <c r="AS290" i="1"/>
  <c r="AS289" i="1" s="1"/>
  <c r="AF289" i="1"/>
  <c r="X306" i="1"/>
  <c r="AV306" i="1"/>
  <c r="AH59" i="1"/>
  <c r="O59" i="1"/>
  <c r="AK64" i="1"/>
  <c r="AK63" i="1" s="1"/>
  <c r="AK59" i="1" s="1"/>
  <c r="AI124" i="1"/>
  <c r="AI121" i="1" s="1"/>
  <c r="AI120" i="1" s="1"/>
  <c r="AI119" i="1" s="1"/>
  <c r="AM121" i="1"/>
  <c r="AM120" i="1" s="1"/>
  <c r="AM119" i="1" s="1"/>
  <c r="AQ182" i="1"/>
  <c r="AX182" i="1" s="1"/>
  <c r="V179" i="1"/>
  <c r="V178" i="1" s="1"/>
  <c r="V174" i="1" s="1"/>
  <c r="AB59" i="1"/>
  <c r="AT69" i="1"/>
  <c r="AI82" i="1"/>
  <c r="AI81" i="1" s="1"/>
  <c r="AI80" i="1" s="1"/>
  <c r="AM81" i="1"/>
  <c r="AM80" i="1" s="1"/>
  <c r="AY109" i="1"/>
  <c r="BB109" i="1"/>
  <c r="BA109" i="1" s="1"/>
  <c r="AZ123" i="1"/>
  <c r="AY123" i="1" s="1"/>
  <c r="AR123" i="1"/>
  <c r="AC218" i="1"/>
  <c r="R256" i="1"/>
  <c r="R252" i="1" s="1"/>
  <c r="AI258" i="1"/>
  <c r="AI256" i="1" s="1"/>
  <c r="AM256" i="1"/>
  <c r="AK81" i="1"/>
  <c r="AK80" i="1" s="1"/>
  <c r="BD119" i="1"/>
  <c r="AI140" i="1"/>
  <c r="AI139" i="1" s="1"/>
  <c r="AX145" i="1"/>
  <c r="L135" i="1"/>
  <c r="W155" i="1"/>
  <c r="AG191" i="1"/>
  <c r="AF208" i="1"/>
  <c r="AF207" i="1" s="1"/>
  <c r="AF206" i="1" s="1"/>
  <c r="AE208" i="1"/>
  <c r="AE207" i="1" s="1"/>
  <c r="AE206" i="1" s="1"/>
  <c r="AY225" i="1"/>
  <c r="R223" i="1"/>
  <c r="R222" i="1" s="1"/>
  <c r="R218" i="1" s="1"/>
  <c r="AY239" i="1"/>
  <c r="AY240" i="1"/>
  <c r="R248" i="1"/>
  <c r="M252" i="1"/>
  <c r="M247" i="1" s="1"/>
  <c r="V253" i="1"/>
  <c r="AX255" i="1"/>
  <c r="AX253" i="1" s="1"/>
  <c r="Z252" i="1"/>
  <c r="Z247" i="1" s="1"/>
  <c r="AR257" i="1"/>
  <c r="R266" i="1"/>
  <c r="R265" i="1" s="1"/>
  <c r="R284" i="1"/>
  <c r="R283" i="1" s="1"/>
  <c r="R282" i="1" s="1"/>
  <c r="BB300" i="1"/>
  <c r="AI325" i="1"/>
  <c r="AR88" i="1"/>
  <c r="AQ88" i="1" s="1"/>
  <c r="R91" i="1"/>
  <c r="R90" i="1" s="1"/>
  <c r="AY93" i="1"/>
  <c r="U102" i="1"/>
  <c r="AE104" i="1"/>
  <c r="AE103" i="1" s="1"/>
  <c r="AE102" i="1" s="1"/>
  <c r="J104" i="1"/>
  <c r="J103" i="1" s="1"/>
  <c r="Q121" i="1"/>
  <c r="Q120" i="1" s="1"/>
  <c r="Q119" i="1" s="1"/>
  <c r="Y119" i="1"/>
  <c r="AO119" i="1"/>
  <c r="AW119" i="1"/>
  <c r="AP135" i="1"/>
  <c r="K135" i="1"/>
  <c r="AQ140" i="1"/>
  <c r="AQ139" i="1" s="1"/>
  <c r="K155" i="1"/>
  <c r="V218" i="1"/>
  <c r="AT256" i="1"/>
  <c r="AR266" i="1"/>
  <c r="AR265" i="1" s="1"/>
  <c r="BA284" i="1"/>
  <c r="BA283" i="1" s="1"/>
  <c r="BA282" i="1" s="1"/>
  <c r="AT325" i="1"/>
  <c r="AK325" i="1"/>
  <c r="J84" i="1"/>
  <c r="AD84" i="1"/>
  <c r="AD79" i="1" s="1"/>
  <c r="AT91" i="1"/>
  <c r="AT90" i="1" s="1"/>
  <c r="L102" i="1"/>
  <c r="BD135" i="1"/>
  <c r="Q140" i="1"/>
  <c r="Q139" i="1" s="1"/>
  <c r="Q135" i="1" s="1"/>
  <c r="AN155" i="1"/>
  <c r="AA155" i="1"/>
  <c r="AU193" i="1"/>
  <c r="AU192" i="1" s="1"/>
  <c r="AM208" i="1"/>
  <c r="AM207" i="1" s="1"/>
  <c r="AM206" i="1" s="1"/>
  <c r="W218" i="1"/>
  <c r="Y218" i="1"/>
  <c r="AG252" i="1"/>
  <c r="AG247" i="1" s="1"/>
  <c r="BA253" i="1"/>
  <c r="S256" i="1"/>
  <c r="S252" i="1" s="1"/>
  <c r="S247" i="1" s="1"/>
  <c r="AT266" i="1"/>
  <c r="AT265" i="1" s="1"/>
  <c r="R307" i="1"/>
  <c r="AY318" i="1"/>
  <c r="AM325" i="1"/>
  <c r="AL325" i="1"/>
  <c r="P81" i="1"/>
  <c r="P80" i="1" s="1"/>
  <c r="AF87" i="1"/>
  <c r="AF84" i="1" s="1"/>
  <c r="AF91" i="1"/>
  <c r="AF90" i="1" s="1"/>
  <c r="AX91" i="1"/>
  <c r="AX90" i="1" s="1"/>
  <c r="R113" i="1"/>
  <c r="K119" i="1"/>
  <c r="S119" i="1"/>
  <c r="AA119" i="1"/>
  <c r="V135" i="1"/>
  <c r="AD135" i="1"/>
  <c r="AE140" i="1"/>
  <c r="AE139" i="1" s="1"/>
  <c r="AE135" i="1" s="1"/>
  <c r="BF145" i="1"/>
  <c r="Z155" i="1"/>
  <c r="BC155" i="1"/>
  <c r="AV155" i="1"/>
  <c r="AR164" i="1"/>
  <c r="AY169" i="1"/>
  <c r="P179" i="1"/>
  <c r="P178" i="1" s="1"/>
  <c r="P174" i="1" s="1"/>
  <c r="AO180" i="1"/>
  <c r="T191" i="1"/>
  <c r="X218" i="1"/>
  <c r="X230" i="1"/>
  <c r="AE231" i="1"/>
  <c r="AE230" i="1" s="1"/>
  <c r="BA248" i="1"/>
  <c r="Y252" i="1"/>
  <c r="Y247" i="1" s="1"/>
  <c r="P256" i="1"/>
  <c r="AR258" i="1"/>
  <c r="AY268" i="1"/>
  <c r="W306" i="1"/>
  <c r="AE306" i="1"/>
  <c r="AM306" i="1"/>
  <c r="AU306" i="1"/>
  <c r="AE325" i="1"/>
  <c r="BB112" i="1"/>
  <c r="BA112" i="1" s="1"/>
  <c r="W135" i="1"/>
  <c r="J140" i="1"/>
  <c r="J139" i="1" s="1"/>
  <c r="AT165" i="1"/>
  <c r="AQ180" i="1"/>
  <c r="AL191" i="1"/>
  <c r="AX195" i="1"/>
  <c r="AX193" i="1" s="1"/>
  <c r="AX192" i="1" s="1"/>
  <c r="S218" i="1"/>
  <c r="AR232" i="1"/>
  <c r="AR231" i="1" s="1"/>
  <c r="AR230" i="1" s="1"/>
  <c r="Q256" i="1"/>
  <c r="AY262" i="1"/>
  <c r="AT289" i="1"/>
  <c r="S307" i="1"/>
  <c r="AA306" i="1"/>
  <c r="AI306" i="1"/>
  <c r="AI47" i="1" s="1"/>
  <c r="AQ306" i="1"/>
  <c r="O306" i="1"/>
  <c r="AE87" i="1"/>
  <c r="AE84" i="1" s="1"/>
  <c r="AE79" i="1" s="1"/>
  <c r="AR89" i="1"/>
  <c r="AT121" i="1"/>
  <c r="AT120" i="1" s="1"/>
  <c r="AT119" i="1" s="1"/>
  <c r="N135" i="1"/>
  <c r="X135" i="1"/>
  <c r="AV135" i="1"/>
  <c r="P158" i="1"/>
  <c r="X155" i="1"/>
  <c r="BB168" i="1"/>
  <c r="BA168" i="1" s="1"/>
  <c r="J179" i="1"/>
  <c r="J178" i="1" s="1"/>
  <c r="J174" i="1" s="1"/>
  <c r="M218" i="1"/>
  <c r="AV218" i="1"/>
  <c r="AT237" i="1"/>
  <c r="AT234" i="1" s="1"/>
  <c r="R237" i="1"/>
  <c r="R234" i="1" s="1"/>
  <c r="AP252" i="1"/>
  <c r="AP247" i="1" s="1"/>
  <c r="AJ256" i="1"/>
  <c r="M306" i="1"/>
  <c r="Y306" i="1"/>
  <c r="AG306" i="1"/>
  <c r="AO306" i="1"/>
  <c r="AW306" i="1"/>
  <c r="P91" i="1"/>
  <c r="P90" i="1" s="1"/>
  <c r="AI91" i="1"/>
  <c r="AI90" i="1" s="1"/>
  <c r="P104" i="1"/>
  <c r="P103" i="1" s="1"/>
  <c r="P102" i="1" s="1"/>
  <c r="V104" i="1"/>
  <c r="V103" i="1" s="1"/>
  <c r="V102" i="1" s="1"/>
  <c r="W119" i="1"/>
  <c r="O135" i="1"/>
  <c r="J149" i="1"/>
  <c r="Q158" i="1"/>
  <c r="S155" i="1"/>
  <c r="Q179" i="1"/>
  <c r="Q178" i="1" s="1"/>
  <c r="Q174" i="1" s="1"/>
  <c r="BC252" i="1"/>
  <c r="BC247" i="1" s="1"/>
  <c r="AS257" i="1"/>
  <c r="AS256" i="1" s="1"/>
  <c r="Q306" i="1"/>
  <c r="W102" i="1"/>
  <c r="O102" i="1"/>
  <c r="K79" i="1"/>
  <c r="U59" i="1"/>
  <c r="AC59" i="1"/>
  <c r="AS62" i="1"/>
  <c r="AU64" i="1"/>
  <c r="AU63" i="1" s="1"/>
  <c r="AU59" i="1" s="1"/>
  <c r="Q64" i="1"/>
  <c r="Q63" i="1" s="1"/>
  <c r="Q59" i="1" s="1"/>
  <c r="AS82" i="1"/>
  <c r="AQ86" i="1"/>
  <c r="AT89" i="1"/>
  <c r="AT87" i="1" s="1"/>
  <c r="AT84" i="1" s="1"/>
  <c r="AU87" i="1"/>
  <c r="AU84" i="1" s="1"/>
  <c r="AU79" i="1" s="1"/>
  <c r="AR144" i="1"/>
  <c r="AZ144" i="1"/>
  <c r="AY144" i="1" s="1"/>
  <c r="M59" i="1"/>
  <c r="AR68" i="1"/>
  <c r="AQ81" i="1"/>
  <c r="AQ80" i="1" s="1"/>
  <c r="AM91" i="1"/>
  <c r="AM90" i="1" s="1"/>
  <c r="J94" i="1"/>
  <c r="AK104" i="1"/>
  <c r="AK103" i="1" s="1"/>
  <c r="AK102" i="1" s="1"/>
  <c r="AM104" i="1"/>
  <c r="AM103" i="1" s="1"/>
  <c r="AM102" i="1" s="1"/>
  <c r="AI105" i="1"/>
  <c r="AI104" i="1" s="1"/>
  <c r="AI103" i="1" s="1"/>
  <c r="AI102" i="1" s="1"/>
  <c r="AS87" i="1"/>
  <c r="AZ88" i="1"/>
  <c r="BB92" i="1"/>
  <c r="AY92" i="1"/>
  <c r="AZ83" i="1"/>
  <c r="AR83" i="1"/>
  <c r="AJ87" i="1"/>
  <c r="AM61" i="1"/>
  <c r="AM60" i="1" s="1"/>
  <c r="AI62" i="1"/>
  <c r="AI61" i="1" s="1"/>
  <c r="AI60" i="1" s="1"/>
  <c r="AZ69" i="1"/>
  <c r="AY96" i="1"/>
  <c r="AY94" i="1" s="1"/>
  <c r="AZ94" i="1"/>
  <c r="N84" i="1"/>
  <c r="N79" i="1" s="1"/>
  <c r="AX81" i="1"/>
  <c r="AX80" i="1" s="1"/>
  <c r="AI88" i="1"/>
  <c r="AI87" i="1" s="1"/>
  <c r="AM87" i="1"/>
  <c r="AM84" i="1" s="1"/>
  <c r="AQ106" i="1"/>
  <c r="AZ124" i="1"/>
  <c r="AR124" i="1"/>
  <c r="AR105" i="1"/>
  <c r="AZ105" i="1"/>
  <c r="AR106" i="1"/>
  <c r="AN135" i="1"/>
  <c r="AR146" i="1"/>
  <c r="AZ146" i="1"/>
  <c r="AY146" i="1" s="1"/>
  <c r="AR108" i="1"/>
  <c r="AZ108" i="1"/>
  <c r="AR143" i="1"/>
  <c r="AZ143" i="1"/>
  <c r="AY143" i="1" s="1"/>
  <c r="AS104" i="1"/>
  <c r="AS103" i="1" s="1"/>
  <c r="AS102" i="1" s="1"/>
  <c r="AV119" i="1"/>
  <c r="AT140" i="1"/>
  <c r="AT139" i="1" s="1"/>
  <c r="AT135" i="1" s="1"/>
  <c r="AS86" i="1"/>
  <c r="X119" i="1"/>
  <c r="AS162" i="1"/>
  <c r="AS161" i="1" s="1"/>
  <c r="AR163" i="1"/>
  <c r="AZ163" i="1"/>
  <c r="AR122" i="1"/>
  <c r="AS121" i="1"/>
  <c r="AS120" i="1" s="1"/>
  <c r="AS119" i="1" s="1"/>
  <c r="AZ142" i="1"/>
  <c r="AY142" i="1" s="1"/>
  <c r="AR142" i="1"/>
  <c r="AZ145" i="1"/>
  <c r="AY145" i="1" s="1"/>
  <c r="AR145" i="1"/>
  <c r="AZ107" i="1"/>
  <c r="AY122" i="1"/>
  <c r="AK162" i="1"/>
  <c r="AK161" i="1" s="1"/>
  <c r="AK155" i="1" s="1"/>
  <c r="R179" i="1"/>
  <c r="R178" i="1" s="1"/>
  <c r="R174" i="1" s="1"/>
  <c r="AT183" i="1"/>
  <c r="AT179" i="1" s="1"/>
  <c r="AT178" i="1" s="1"/>
  <c r="AT174" i="1" s="1"/>
  <c r="BF183" i="1"/>
  <c r="AY212" i="1"/>
  <c r="AY208" i="1" s="1"/>
  <c r="AY207" i="1" s="1"/>
  <c r="AY206" i="1" s="1"/>
  <c r="BB212" i="1"/>
  <c r="AZ249" i="1"/>
  <c r="AM140" i="1"/>
  <c r="AM139" i="1" s="1"/>
  <c r="AM135" i="1" s="1"/>
  <c r="AJ141" i="1"/>
  <c r="AJ140" i="1" s="1"/>
  <c r="AJ139" i="1" s="1"/>
  <c r="AY148" i="1"/>
  <c r="AY147" i="1" s="1"/>
  <c r="AU179" i="1"/>
  <c r="AU178" i="1" s="1"/>
  <c r="AU174" i="1" s="1"/>
  <c r="AJ179" i="1"/>
  <c r="AJ178" i="1" s="1"/>
  <c r="AJ174" i="1" s="1"/>
  <c r="AZ195" i="1"/>
  <c r="AR195" i="1"/>
  <c r="AR193" i="1" s="1"/>
  <c r="AR192" i="1" s="1"/>
  <c r="AS193" i="1"/>
  <c r="AS192" i="1" s="1"/>
  <c r="AI198" i="1"/>
  <c r="AI197" i="1" s="1"/>
  <c r="AI196" i="1" s="1"/>
  <c r="AI191" i="1" s="1"/>
  <c r="AJ197" i="1"/>
  <c r="AJ196" i="1" s="1"/>
  <c r="AJ191" i="1" s="1"/>
  <c r="AS254" i="1"/>
  <c r="AF253" i="1"/>
  <c r="R291" i="1"/>
  <c r="R289" i="1" s="1"/>
  <c r="S289" i="1"/>
  <c r="BB291" i="1"/>
  <c r="AQ121" i="1"/>
  <c r="AQ120" i="1" s="1"/>
  <c r="AQ119" i="1" s="1"/>
  <c r="AJ138" i="1"/>
  <c r="AJ137" i="1" s="1"/>
  <c r="AJ136" i="1" s="1"/>
  <c r="AX142" i="1"/>
  <c r="R162" i="1"/>
  <c r="R161" i="1" s="1"/>
  <c r="R155" i="1" s="1"/>
  <c r="AX165" i="1"/>
  <c r="AQ162" i="1"/>
  <c r="AQ161" i="1" s="1"/>
  <c r="AX167" i="1"/>
  <c r="AT167" i="1"/>
  <c r="BF167" i="1"/>
  <c r="AZ167" i="1"/>
  <c r="AY167" i="1" s="1"/>
  <c r="AZ182" i="1"/>
  <c r="AY182" i="1" s="1"/>
  <c r="BB148" i="1"/>
  <c r="AM162" i="1"/>
  <c r="AM161" i="1" s="1"/>
  <c r="AM155" i="1" s="1"/>
  <c r="AI163" i="1"/>
  <c r="AI162" i="1" s="1"/>
  <c r="AI161" i="1" s="1"/>
  <c r="AI155" i="1" s="1"/>
  <c r="AR165" i="1"/>
  <c r="AZ165" i="1"/>
  <c r="AY165" i="1" s="1"/>
  <c r="S179" i="1"/>
  <c r="S178" i="1" s="1"/>
  <c r="S174" i="1" s="1"/>
  <c r="U191" i="1"/>
  <c r="AP191" i="1"/>
  <c r="AI147" i="1"/>
  <c r="AE158" i="1"/>
  <c r="AF162" i="1"/>
  <c r="AF161" i="1" s="1"/>
  <c r="AF155" i="1" s="1"/>
  <c r="AX163" i="1"/>
  <c r="AT170" i="1"/>
  <c r="AZ170" i="1"/>
  <c r="AX170" i="1"/>
  <c r="AM179" i="1"/>
  <c r="AM178" i="1" s="1"/>
  <c r="AM174" i="1" s="1"/>
  <c r="AF179" i="1"/>
  <c r="AF178" i="1" s="1"/>
  <c r="AF174" i="1" s="1"/>
  <c r="AK218" i="1"/>
  <c r="K179" i="1"/>
  <c r="K178" i="1" s="1"/>
  <c r="K174" i="1" s="1"/>
  <c r="AX183" i="1"/>
  <c r="Z191" i="1"/>
  <c r="AQ191" i="1"/>
  <c r="L191" i="1"/>
  <c r="AX200" i="1"/>
  <c r="AX199" i="1" s="1"/>
  <c r="AT200" i="1"/>
  <c r="AT199" i="1" s="1"/>
  <c r="AU199" i="1"/>
  <c r="AU162" i="1"/>
  <c r="AU161" i="1" s="1"/>
  <c r="AU155" i="1" s="1"/>
  <c r="AT163" i="1"/>
  <c r="AR183" i="1"/>
  <c r="AZ183" i="1"/>
  <c r="AY183" i="1" s="1"/>
  <c r="AY200" i="1"/>
  <c r="AY199" i="1" s="1"/>
  <c r="AZ199" i="1"/>
  <c r="BB200" i="1"/>
  <c r="AS181" i="1"/>
  <c r="AS198" i="1"/>
  <c r="AT198" i="1"/>
  <c r="AT197" i="1" s="1"/>
  <c r="AT196" i="1" s="1"/>
  <c r="AI208" i="1"/>
  <c r="AI207" i="1" s="1"/>
  <c r="AI206" i="1" s="1"/>
  <c r="AA218" i="1"/>
  <c r="AI218" i="1"/>
  <c r="AQ223" i="1"/>
  <c r="AQ222" i="1" s="1"/>
  <c r="AX224" i="1"/>
  <c r="AX223" i="1" s="1"/>
  <c r="AX222" i="1" s="1"/>
  <c r="J306" i="1"/>
  <c r="Z306" i="1"/>
  <c r="AH306" i="1"/>
  <c r="AP306" i="1"/>
  <c r="V157" i="1"/>
  <c r="V156" i="1" s="1"/>
  <c r="V155" i="1" s="1"/>
  <c r="AN179" i="1"/>
  <c r="AN178" i="1" s="1"/>
  <c r="AN174" i="1" s="1"/>
  <c r="O191" i="1"/>
  <c r="W191" i="1"/>
  <c r="AE191" i="1"/>
  <c r="AT208" i="1"/>
  <c r="AT207" i="1" s="1"/>
  <c r="AT206" i="1" s="1"/>
  <c r="AQ212" i="1"/>
  <c r="AX212" i="1" s="1"/>
  <c r="AX208" i="1" s="1"/>
  <c r="AX207" i="1" s="1"/>
  <c r="AX206" i="1" s="1"/>
  <c r="AR208" i="1"/>
  <c r="AR207" i="1" s="1"/>
  <c r="AR206" i="1" s="1"/>
  <c r="AZ221" i="1"/>
  <c r="AU220" i="1"/>
  <c r="AU219" i="1" s="1"/>
  <c r="AU218" i="1" s="1"/>
  <c r="AT221" i="1"/>
  <c r="AT220" i="1" s="1"/>
  <c r="AT219" i="1" s="1"/>
  <c r="V256" i="1"/>
  <c r="V252" i="1" s="1"/>
  <c r="V247" i="1" s="1"/>
  <c r="AQ257" i="1"/>
  <c r="BB272" i="1"/>
  <c r="BA272" i="1" s="1"/>
  <c r="AY272" i="1"/>
  <c r="AZ266" i="1"/>
  <c r="AZ265" i="1" s="1"/>
  <c r="Q191" i="1"/>
  <c r="Y191" i="1"/>
  <c r="AO191" i="1"/>
  <c r="AW191" i="1"/>
  <c r="AX198" i="1"/>
  <c r="AX197" i="1" s="1"/>
  <c r="AX196" i="1" s="1"/>
  <c r="AJ208" i="1"/>
  <c r="AJ207" i="1" s="1"/>
  <c r="AJ206" i="1" s="1"/>
  <c r="AZ208" i="1"/>
  <c r="AZ207" i="1" s="1"/>
  <c r="AZ206" i="1" s="1"/>
  <c r="AU252" i="1"/>
  <c r="AU247" i="1" s="1"/>
  <c r="AY258" i="1"/>
  <c r="AX258" i="1"/>
  <c r="BB258" i="1"/>
  <c r="AQ266" i="1"/>
  <c r="AQ265" i="1" s="1"/>
  <c r="AX269" i="1"/>
  <c r="AR290" i="1"/>
  <c r="AR289" i="1" s="1"/>
  <c r="AX291" i="1"/>
  <c r="AX289" i="1" s="1"/>
  <c r="AQ289" i="1"/>
  <c r="L306" i="1"/>
  <c r="AR249" i="1"/>
  <c r="AR248" i="1" s="1"/>
  <c r="AC252" i="1"/>
  <c r="AC247" i="1" s="1"/>
  <c r="AM289" i="1"/>
  <c r="BB315" i="1"/>
  <c r="BA317" i="1"/>
  <c r="BA315" i="1" s="1"/>
  <c r="AP218" i="1"/>
  <c r="AS223" i="1"/>
  <c r="AS222" i="1" s="1"/>
  <c r="AZ224" i="1"/>
  <c r="AN230" i="1"/>
  <c r="AI232" i="1"/>
  <c r="AM231" i="1"/>
  <c r="AL253" i="1"/>
  <c r="AL252" i="1" s="1"/>
  <c r="AL247" i="1" s="1"/>
  <c r="BA278" i="1"/>
  <c r="BA312" i="1"/>
  <c r="AK231" i="1"/>
  <c r="AK230" i="1" s="1"/>
  <c r="AM248" i="1"/>
  <c r="W252" i="1"/>
  <c r="W247" i="1" s="1"/>
  <c r="BB270" i="1"/>
  <c r="BA270" i="1" s="1"/>
  <c r="AX270" i="1"/>
  <c r="AY292" i="1"/>
  <c r="Q252" i="1" l="1"/>
  <c r="Q247" i="1" s="1"/>
  <c r="J59" i="1"/>
  <c r="AB16" i="1"/>
  <c r="AF16" i="1" s="1"/>
  <c r="BE31" i="1"/>
  <c r="J79" i="1"/>
  <c r="R135" i="1"/>
  <c r="AS155" i="1"/>
  <c r="AQ155" i="1"/>
  <c r="AR87" i="1"/>
  <c r="AE42" i="1"/>
  <c r="AQ221" i="1"/>
  <c r="AX221" i="1" s="1"/>
  <c r="AX220" i="1" s="1"/>
  <c r="AX219" i="1" s="1"/>
  <c r="AX218" i="1" s="1"/>
  <c r="AK79" i="1"/>
  <c r="AZ257" i="1"/>
  <c r="AZ256" i="1" s="1"/>
  <c r="AR138" i="1"/>
  <c r="AR137" i="1" s="1"/>
  <c r="AR136" i="1" s="1"/>
  <c r="R306" i="1"/>
  <c r="AS137" i="1"/>
  <c r="AS136" i="1" s="1"/>
  <c r="AL79" i="1"/>
  <c r="AL57" i="1" s="1"/>
  <c r="AL55" i="1" s="1"/>
  <c r="AY266" i="1"/>
  <c r="AY265" i="1" s="1"/>
  <c r="J247" i="1"/>
  <c r="Q79" i="1"/>
  <c r="Q44" i="1" s="1"/>
  <c r="AM79" i="1"/>
  <c r="AM59" i="1"/>
  <c r="AS64" i="1"/>
  <c r="AS63" i="1" s="1"/>
  <c r="AF252" i="1"/>
  <c r="AF247" i="1" s="1"/>
  <c r="AX191" i="1"/>
  <c r="BA307" i="1"/>
  <c r="AZ180" i="1"/>
  <c r="AY180" i="1" s="1"/>
  <c r="R79" i="1"/>
  <c r="BB307" i="1"/>
  <c r="AY91" i="1"/>
  <c r="AY90" i="1" s="1"/>
  <c r="AS179" i="1"/>
  <c r="AS178" i="1" s="1"/>
  <c r="AS174" i="1" s="1"/>
  <c r="AZ121" i="1"/>
  <c r="AZ120" i="1" s="1"/>
  <c r="AZ119" i="1" s="1"/>
  <c r="AT79" i="1"/>
  <c r="P252" i="1"/>
  <c r="P247" i="1" s="1"/>
  <c r="R119" i="1"/>
  <c r="AY237" i="1"/>
  <c r="AY234" i="1" s="1"/>
  <c r="BC57" i="1"/>
  <c r="BC55" i="1" s="1"/>
  <c r="BD44" i="1"/>
  <c r="BD43" i="1" s="1"/>
  <c r="BD42" i="1" s="1"/>
  <c r="AR66" i="1"/>
  <c r="AR64" i="1" s="1"/>
  <c r="AR63" i="1" s="1"/>
  <c r="AJ135" i="1"/>
  <c r="J135" i="1"/>
  <c r="R59" i="1"/>
  <c r="AF42" i="1"/>
  <c r="AF79" i="1"/>
  <c r="AQ59" i="1"/>
  <c r="AH57" i="1"/>
  <c r="AH55" i="1" s="1"/>
  <c r="AR256" i="1"/>
  <c r="AR252" i="1" s="1"/>
  <c r="AR247" i="1" s="1"/>
  <c r="T57" i="1"/>
  <c r="T55" i="1" s="1"/>
  <c r="J102" i="1"/>
  <c r="AJ252" i="1"/>
  <c r="AJ247" i="1" s="1"/>
  <c r="AG57" i="1"/>
  <c r="AG55" i="1" s="1"/>
  <c r="R247" i="1"/>
  <c r="AT218" i="1"/>
  <c r="AB57" i="1"/>
  <c r="AB55" i="1" s="1"/>
  <c r="R102" i="1"/>
  <c r="AT252" i="1"/>
  <c r="AT247" i="1" s="1"/>
  <c r="AR141" i="1"/>
  <c r="AR140" i="1" s="1"/>
  <c r="AR139" i="1" s="1"/>
  <c r="S306" i="1"/>
  <c r="AD57" i="1"/>
  <c r="AD55" i="1" s="1"/>
  <c r="BB289" i="1"/>
  <c r="AS140" i="1"/>
  <c r="AS139" i="1" s="1"/>
  <c r="BB67" i="1"/>
  <c r="BA67" i="1" s="1"/>
  <c r="AZ157" i="1"/>
  <c r="AZ156" i="1" s="1"/>
  <c r="AI135" i="1"/>
  <c r="AS218" i="1"/>
  <c r="AT64" i="1"/>
  <c r="AT63" i="1" s="1"/>
  <c r="AT59" i="1" s="1"/>
  <c r="O44" i="1"/>
  <c r="AQ137" i="1"/>
  <c r="AQ136" i="1" s="1"/>
  <c r="AQ135" i="1" s="1"/>
  <c r="Z30" i="1"/>
  <c r="Z28" i="1" s="1"/>
  <c r="AS131" i="1"/>
  <c r="AS130" i="1" s="1"/>
  <c r="AS129" i="1" s="1"/>
  <c r="Y44" i="1"/>
  <c r="Y43" i="1" s="1"/>
  <c r="Y42" i="1" s="1"/>
  <c r="AZ131" i="1"/>
  <c r="AZ130" i="1" s="1"/>
  <c r="AZ129" i="1" s="1"/>
  <c r="AI59" i="1"/>
  <c r="AB30" i="1"/>
  <c r="AB28" i="1" s="1"/>
  <c r="AD26" i="1" s="1"/>
  <c r="AT191" i="1"/>
  <c r="AX140" i="1"/>
  <c r="AX139" i="1" s="1"/>
  <c r="AX135" i="1" s="1"/>
  <c r="BC44" i="1"/>
  <c r="BC43" i="1" s="1"/>
  <c r="BC42" i="1" s="1"/>
  <c r="BD57" i="1"/>
  <c r="BD55" i="1" s="1"/>
  <c r="AZ290" i="1"/>
  <c r="AY290" i="1" s="1"/>
  <c r="AY289" i="1" s="1"/>
  <c r="BB89" i="1"/>
  <c r="AI86" i="1"/>
  <c r="AI85" i="1" s="1"/>
  <c r="AI84" i="1" s="1"/>
  <c r="AI79" i="1" s="1"/>
  <c r="AJ85" i="1"/>
  <c r="AJ84" i="1" s="1"/>
  <c r="AJ79" i="1" s="1"/>
  <c r="BA185" i="1"/>
  <c r="BA179" i="1" s="1"/>
  <c r="BA178" i="1" s="1"/>
  <c r="BA174" i="1" s="1"/>
  <c r="BB179" i="1"/>
  <c r="BB178" i="1" s="1"/>
  <c r="BB174" i="1" s="1"/>
  <c r="AR132" i="1"/>
  <c r="AR131" i="1" s="1"/>
  <c r="AR130" i="1" s="1"/>
  <c r="AR129" i="1" s="1"/>
  <c r="AB15" i="1"/>
  <c r="AA14" i="1" s="1"/>
  <c r="AB14" i="1" s="1"/>
  <c r="T30" i="1"/>
  <c r="T28" i="1" s="1"/>
  <c r="BB322" i="1"/>
  <c r="BA324" i="1"/>
  <c r="BA322" i="1" s="1"/>
  <c r="AA30" i="1"/>
  <c r="AA28" i="1" s="1"/>
  <c r="X57" i="1"/>
  <c r="X55" i="1" s="1"/>
  <c r="AX64" i="1"/>
  <c r="AX63" i="1" s="1"/>
  <c r="AX59" i="1" s="1"/>
  <c r="W57" i="1"/>
  <c r="W55" i="1" s="1"/>
  <c r="AP57" i="1"/>
  <c r="AP55" i="1" s="1"/>
  <c r="AQ208" i="1"/>
  <c r="AQ207" i="1" s="1"/>
  <c r="AQ206" i="1" s="1"/>
  <c r="S30" i="1"/>
  <c r="AQ179" i="1"/>
  <c r="AQ178" i="1" s="1"/>
  <c r="AQ174" i="1" s="1"/>
  <c r="AX180" i="1"/>
  <c r="AX179" i="1" s="1"/>
  <c r="AX178" i="1" s="1"/>
  <c r="AX174" i="1" s="1"/>
  <c r="V57" i="1"/>
  <c r="V55" i="1" s="1"/>
  <c r="AZ64" i="1"/>
  <c r="AZ63" i="1" s="1"/>
  <c r="O30" i="1"/>
  <c r="O28" i="1" s="1"/>
  <c r="Y30" i="1"/>
  <c r="Y28" i="1" s="1"/>
  <c r="AA57" i="1"/>
  <c r="AA55" i="1" s="1"/>
  <c r="P79" i="1"/>
  <c r="AD30" i="1"/>
  <c r="AD28" i="1" s="1"/>
  <c r="AT162" i="1"/>
  <c r="AT161" i="1" s="1"/>
  <c r="AT155" i="1" s="1"/>
  <c r="Z57" i="1"/>
  <c r="Z55" i="1" s="1"/>
  <c r="AV44" i="1"/>
  <c r="AV43" i="1" s="1"/>
  <c r="AV42" i="1" s="1"/>
  <c r="AD44" i="1"/>
  <c r="AD43" i="1" s="1"/>
  <c r="AD42" i="1" s="1"/>
  <c r="AA44" i="1"/>
  <c r="AA43" i="1" s="1"/>
  <c r="AA42" i="1" s="1"/>
  <c r="AU191" i="1"/>
  <c r="AU44" i="1" s="1"/>
  <c r="AU43" i="1" s="1"/>
  <c r="AU42" i="1" s="1"/>
  <c r="AR162" i="1"/>
  <c r="AR161" i="1" s="1"/>
  <c r="AR155" i="1" s="1"/>
  <c r="AN57" i="1"/>
  <c r="AN55" i="1" s="1"/>
  <c r="AB44" i="1"/>
  <c r="AB43" i="1" s="1"/>
  <c r="AB42" i="1" s="1"/>
  <c r="AY306" i="1"/>
  <c r="AM252" i="1"/>
  <c r="AM247" i="1" s="1"/>
  <c r="BB266" i="1"/>
  <c r="BB265" i="1" s="1"/>
  <c r="AW44" i="1"/>
  <c r="AW43" i="1" s="1"/>
  <c r="AW42" i="1" s="1"/>
  <c r="AO179" i="1"/>
  <c r="AO178" i="1" s="1"/>
  <c r="AO174" i="1" s="1"/>
  <c r="AO15" i="1" s="1"/>
  <c r="AK180" i="1"/>
  <c r="AK179" i="1" s="1"/>
  <c r="AK178" i="1" s="1"/>
  <c r="AK174" i="1" s="1"/>
  <c r="AI252" i="1"/>
  <c r="AI247" i="1" s="1"/>
  <c r="AR104" i="1"/>
  <c r="AR103" i="1" s="1"/>
  <c r="AR102" i="1" s="1"/>
  <c r="AE57" i="1"/>
  <c r="AE55" i="1" s="1"/>
  <c r="N30" i="1"/>
  <c r="N28" i="1" s="1"/>
  <c r="N44" i="1"/>
  <c r="N57" i="1"/>
  <c r="AR86" i="1"/>
  <c r="AR85" i="1" s="1"/>
  <c r="AZ86" i="1"/>
  <c r="AS85" i="1"/>
  <c r="AS84" i="1" s="1"/>
  <c r="AC57" i="1"/>
  <c r="AC55" i="1" s="1"/>
  <c r="AC44" i="1"/>
  <c r="AC43" i="1" s="1"/>
  <c r="AC42" i="1" s="1"/>
  <c r="AC30" i="1"/>
  <c r="AC28" i="1" s="1"/>
  <c r="AZ140" i="1"/>
  <c r="AZ139" i="1" s="1"/>
  <c r="AY141" i="1"/>
  <c r="AY140" i="1" s="1"/>
  <c r="AY139" i="1" s="1"/>
  <c r="M57" i="1"/>
  <c r="M44" i="1"/>
  <c r="M30" i="1"/>
  <c r="M28" i="1" s="1"/>
  <c r="U57" i="1"/>
  <c r="U55" i="1" s="1"/>
  <c r="U30" i="1"/>
  <c r="U28" i="1" s="1"/>
  <c r="Z44" i="1"/>
  <c r="Z43" i="1" s="1"/>
  <c r="Z42" i="1" s="1"/>
  <c r="AX266" i="1"/>
  <c r="AX265" i="1" s="1"/>
  <c r="W30" i="1"/>
  <c r="W44" i="1"/>
  <c r="W43" i="1" s="1"/>
  <c r="W42" i="1" s="1"/>
  <c r="AS253" i="1"/>
  <c r="AS252" i="1" s="1"/>
  <c r="AS247" i="1" s="1"/>
  <c r="AZ254" i="1"/>
  <c r="AZ193" i="1"/>
  <c r="AZ192" i="1" s="1"/>
  <c r="AY195" i="1"/>
  <c r="AY193" i="1" s="1"/>
  <c r="AY192" i="1" s="1"/>
  <c r="AR121" i="1"/>
  <c r="AR120" i="1" s="1"/>
  <c r="AR119" i="1" s="1"/>
  <c r="BB69" i="1"/>
  <c r="BA69" i="1" s="1"/>
  <c r="AY69" i="1"/>
  <c r="AY64" i="1" s="1"/>
  <c r="AY63" i="1" s="1"/>
  <c r="AQ85" i="1"/>
  <c r="AX86" i="1"/>
  <c r="AX85" i="1" s="1"/>
  <c r="BE16" i="1"/>
  <c r="S57" i="1"/>
  <c r="BB170" i="1"/>
  <c r="AY170" i="1"/>
  <c r="BB208" i="1"/>
  <c r="BB207" i="1" s="1"/>
  <c r="BB206" i="1" s="1"/>
  <c r="BA212" i="1"/>
  <c r="BA208" i="1" s="1"/>
  <c r="BA207" i="1" s="1"/>
  <c r="BA206" i="1" s="1"/>
  <c r="AQ256" i="1"/>
  <c r="AQ252" i="1" s="1"/>
  <c r="AQ247" i="1" s="1"/>
  <c r="AX257" i="1"/>
  <c r="AX256" i="1" s="1"/>
  <c r="AX252" i="1" s="1"/>
  <c r="AQ220" i="1"/>
  <c r="AQ219" i="1" s="1"/>
  <c r="AQ218" i="1" s="1"/>
  <c r="AX162" i="1"/>
  <c r="AX161" i="1" s="1"/>
  <c r="AX155" i="1" s="1"/>
  <c r="BA148" i="1"/>
  <c r="BA147" i="1" s="1"/>
  <c r="BA135" i="1" s="1"/>
  <c r="BB147" i="1"/>
  <c r="BB135" i="1" s="1"/>
  <c r="L30" i="1"/>
  <c r="L28" i="1" s="1"/>
  <c r="L44" i="1"/>
  <c r="AZ162" i="1"/>
  <c r="AZ161" i="1" s="1"/>
  <c r="AY163" i="1"/>
  <c r="AL44" i="1"/>
  <c r="AZ82" i="1"/>
  <c r="AR82" i="1"/>
  <c r="AR81" i="1" s="1"/>
  <c r="AR80" i="1" s="1"/>
  <c r="AS81" i="1"/>
  <c r="AS80" i="1" s="1"/>
  <c r="Y57" i="1"/>
  <c r="Y55" i="1" s="1"/>
  <c r="AW57" i="1"/>
  <c r="AW55" i="1" s="1"/>
  <c r="AZ248" i="1"/>
  <c r="AY249" i="1"/>
  <c r="AY248" i="1" s="1"/>
  <c r="AI231" i="1"/>
  <c r="AI230" i="1" s="1"/>
  <c r="AM230" i="1"/>
  <c r="AN15" i="1"/>
  <c r="AN17" i="1" s="1"/>
  <c r="AN44" i="1"/>
  <c r="AN43" i="1" s="1"/>
  <c r="AN42" i="1" s="1"/>
  <c r="AZ181" i="1"/>
  <c r="AY181" i="1" s="1"/>
  <c r="AR181" i="1"/>
  <c r="AR179" i="1" s="1"/>
  <c r="AR178" i="1" s="1"/>
  <c r="AR174" i="1" s="1"/>
  <c r="AP15" i="1"/>
  <c r="AP44" i="1"/>
  <c r="AP43" i="1" s="1"/>
  <c r="AP42" i="1" s="1"/>
  <c r="BB108" i="1"/>
  <c r="BA108" i="1" s="1"/>
  <c r="AY108" i="1"/>
  <c r="BA92" i="1"/>
  <c r="BA91" i="1" s="1"/>
  <c r="BA90" i="1" s="1"/>
  <c r="BB91" i="1"/>
  <c r="BB90" i="1" s="1"/>
  <c r="AV57" i="1"/>
  <c r="AV55" i="1" s="1"/>
  <c r="BA266" i="1"/>
  <c r="BA265" i="1" s="1"/>
  <c r="BA291" i="1"/>
  <c r="BA289" i="1" s="1"/>
  <c r="BB107" i="1"/>
  <c r="AY107" i="1"/>
  <c r="AY138" i="1"/>
  <c r="AY137" i="1" s="1"/>
  <c r="AY136" i="1" s="1"/>
  <c r="AZ137" i="1"/>
  <c r="AZ136" i="1" s="1"/>
  <c r="AY124" i="1"/>
  <c r="AY121" i="1" s="1"/>
  <c r="AY120" i="1" s="1"/>
  <c r="AY119" i="1" s="1"/>
  <c r="BB124" i="1"/>
  <c r="AZ87" i="1"/>
  <c r="AY88" i="1"/>
  <c r="AY87" i="1" s="1"/>
  <c r="AQ87" i="1"/>
  <c r="AX88" i="1"/>
  <c r="AX87" i="1" s="1"/>
  <c r="O57" i="1"/>
  <c r="L57" i="1"/>
  <c r="X30" i="1"/>
  <c r="X44" i="1"/>
  <c r="X43" i="1" s="1"/>
  <c r="X42" i="1" s="1"/>
  <c r="AY105" i="1"/>
  <c r="AX105" i="1"/>
  <c r="AZ104" i="1"/>
  <c r="AZ103" i="1" s="1"/>
  <c r="AZ102" i="1" s="1"/>
  <c r="AX106" i="1"/>
  <c r="AQ104" i="1"/>
  <c r="AQ103" i="1" s="1"/>
  <c r="AQ102" i="1" s="1"/>
  <c r="AY83" i="1"/>
  <c r="BB83" i="1"/>
  <c r="BA83" i="1" s="1"/>
  <c r="AS61" i="1"/>
  <c r="AS60" i="1" s="1"/>
  <c r="AZ62" i="1"/>
  <c r="AR62" i="1"/>
  <c r="AR61" i="1" s="1"/>
  <c r="AR60" i="1" s="1"/>
  <c r="K30" i="1"/>
  <c r="K28" i="1" s="1"/>
  <c r="K57" i="1"/>
  <c r="AY224" i="1"/>
  <c r="AY223" i="1" s="1"/>
  <c r="AY222" i="1" s="1"/>
  <c r="AZ223" i="1"/>
  <c r="AZ222" i="1" s="1"/>
  <c r="BB224" i="1"/>
  <c r="BA258" i="1"/>
  <c r="BA256" i="1" s="1"/>
  <c r="BA252" i="1" s="1"/>
  <c r="BB256" i="1"/>
  <c r="BB252" i="1" s="1"/>
  <c r="AY221" i="1"/>
  <c r="AY220" i="1" s="1"/>
  <c r="AY219" i="1" s="1"/>
  <c r="AZ220" i="1"/>
  <c r="AZ219" i="1" s="1"/>
  <c r="AZ198" i="1"/>
  <c r="AS197" i="1"/>
  <c r="AS196" i="1" s="1"/>
  <c r="AS191" i="1" s="1"/>
  <c r="AR198" i="1"/>
  <c r="AR197" i="1" s="1"/>
  <c r="AR196" i="1" s="1"/>
  <c r="AR191" i="1" s="1"/>
  <c r="BA200" i="1"/>
  <c r="BA199" i="1" s="1"/>
  <c r="BA191" i="1" s="1"/>
  <c r="BB199" i="1"/>
  <c r="BB191" i="1" s="1"/>
  <c r="AM14" i="1" l="1"/>
  <c r="AY135" i="1"/>
  <c r="AR84" i="1"/>
  <c r="S28" i="1"/>
  <c r="BA306" i="1"/>
  <c r="AD14" i="1"/>
  <c r="AS59" i="1"/>
  <c r="AZ155" i="1"/>
  <c r="AU57" i="1"/>
  <c r="AU55" i="1" s="1"/>
  <c r="AK57" i="1"/>
  <c r="AK55" i="1" s="1"/>
  <c r="AR135" i="1"/>
  <c r="AS135" i="1"/>
  <c r="AF57" i="1"/>
  <c r="AF55" i="1" s="1"/>
  <c r="J57" i="1"/>
  <c r="AY257" i="1"/>
  <c r="AY256" i="1" s="1"/>
  <c r="S55" i="1"/>
  <c r="Q57" i="1"/>
  <c r="AR59" i="1"/>
  <c r="BB306" i="1"/>
  <c r="BA89" i="1"/>
  <c r="BA87" i="1" s="1"/>
  <c r="BB87" i="1"/>
  <c r="AZ289" i="1"/>
  <c r="R30" i="1"/>
  <c r="R28" i="1" s="1"/>
  <c r="BE34" i="1"/>
  <c r="BE40" i="1" s="1"/>
  <c r="BB247" i="1"/>
  <c r="BE36" i="1"/>
  <c r="AX247" i="1"/>
  <c r="AS79" i="1"/>
  <c r="J30" i="1"/>
  <c r="J28" i="1" s="1"/>
  <c r="R57" i="1"/>
  <c r="AZ135" i="1"/>
  <c r="BE37" i="1"/>
  <c r="AT57" i="1"/>
  <c r="AT55" i="1" s="1"/>
  <c r="AK44" i="1"/>
  <c r="AK43" i="1" s="1"/>
  <c r="AK42" i="1" s="1"/>
  <c r="AT44" i="1"/>
  <c r="AT43" i="1" s="1"/>
  <c r="AT42" i="1" s="1"/>
  <c r="BE39" i="1"/>
  <c r="BB64" i="1"/>
  <c r="BB63" i="1" s="1"/>
  <c r="BE35" i="1"/>
  <c r="AI57" i="1"/>
  <c r="AI55" i="1" s="1"/>
  <c r="AI44" i="1"/>
  <c r="AI43" i="1" s="1"/>
  <c r="AI42" i="1" s="1"/>
  <c r="AJ57" i="1"/>
  <c r="AJ55" i="1" s="1"/>
  <c r="AJ44" i="1"/>
  <c r="AJ43" i="1" s="1"/>
  <c r="AJ42" i="1" s="1"/>
  <c r="AY162" i="1"/>
  <c r="AY161" i="1" s="1"/>
  <c r="AY155" i="1" s="1"/>
  <c r="AM15" i="1"/>
  <c r="AM44" i="1"/>
  <c r="AM43" i="1" s="1"/>
  <c r="AM42" i="1" s="1"/>
  <c r="AM57" i="1"/>
  <c r="AM55" i="1" s="1"/>
  <c r="AO57" i="1"/>
  <c r="AO55" i="1" s="1"/>
  <c r="AO44" i="1"/>
  <c r="AO43" i="1" s="1"/>
  <c r="AO42" i="1" s="1"/>
  <c r="P44" i="1"/>
  <c r="P57" i="1"/>
  <c r="AY218" i="1"/>
  <c r="AY179" i="1"/>
  <c r="AY178" i="1" s="1"/>
  <c r="AY174" i="1" s="1"/>
  <c r="AY104" i="1"/>
  <c r="AY103" i="1" s="1"/>
  <c r="AY102" i="1" s="1"/>
  <c r="AX104" i="1"/>
  <c r="AX103" i="1" s="1"/>
  <c r="AX102" i="1" s="1"/>
  <c r="BB121" i="1"/>
  <c r="BB120" i="1" s="1"/>
  <c r="BB119" i="1" s="1"/>
  <c r="BA124" i="1"/>
  <c r="BA121" i="1" s="1"/>
  <c r="BA120" i="1" s="1"/>
  <c r="BA119" i="1" s="1"/>
  <c r="BA247" i="1"/>
  <c r="X28" i="1"/>
  <c r="AF28" i="1" s="1"/>
  <c r="AF30" i="1"/>
  <c r="BB104" i="1"/>
  <c r="BB103" i="1" s="1"/>
  <c r="BB102" i="1" s="1"/>
  <c r="BA107" i="1"/>
  <c r="BA104" i="1" s="1"/>
  <c r="BA103" i="1" s="1"/>
  <c r="BA102" i="1" s="1"/>
  <c r="AR79" i="1"/>
  <c r="AX84" i="1"/>
  <c r="AX79" i="1" s="1"/>
  <c r="AY254" i="1"/>
  <c r="AY253" i="1" s="1"/>
  <c r="AZ253" i="1"/>
  <c r="AZ252" i="1" s="1"/>
  <c r="AZ247" i="1" s="1"/>
  <c r="AZ197" i="1"/>
  <c r="AZ196" i="1" s="1"/>
  <c r="AZ191" i="1" s="1"/>
  <c r="AY198" i="1"/>
  <c r="AY197" i="1" s="1"/>
  <c r="AY196" i="1" s="1"/>
  <c r="AY191" i="1" s="1"/>
  <c r="AY82" i="1"/>
  <c r="AY81" i="1" s="1"/>
  <c r="AY80" i="1" s="1"/>
  <c r="BB82" i="1"/>
  <c r="AZ81" i="1"/>
  <c r="AZ80" i="1" s="1"/>
  <c r="BA170" i="1"/>
  <c r="BA162" i="1" s="1"/>
  <c r="BA161" i="1" s="1"/>
  <c r="BA155" i="1" s="1"/>
  <c r="BB162" i="1"/>
  <c r="BB161" i="1" s="1"/>
  <c r="BB155" i="1" s="1"/>
  <c r="AQ84" i="1"/>
  <c r="AQ79" i="1" s="1"/>
  <c r="AY62" i="1"/>
  <c r="AY61" i="1" s="1"/>
  <c r="AY60" i="1" s="1"/>
  <c r="AY59" i="1" s="1"/>
  <c r="BB62" i="1"/>
  <c r="AZ61" i="1"/>
  <c r="AZ60" i="1" s="1"/>
  <c r="AZ59" i="1" s="1"/>
  <c r="AZ218" i="1"/>
  <c r="AZ179" i="1"/>
  <c r="AZ178" i="1" s="1"/>
  <c r="AZ174" i="1" s="1"/>
  <c r="BB86" i="1"/>
  <c r="AY86" i="1"/>
  <c r="AY85" i="1" s="1"/>
  <c r="AY84" i="1" s="1"/>
  <c r="AZ85" i="1"/>
  <c r="AZ84" i="1" s="1"/>
  <c r="W28" i="1"/>
  <c r="AE28" i="1" s="1"/>
  <c r="AE30" i="1"/>
  <c r="BA64" i="1"/>
  <c r="BA63" i="1" s="1"/>
  <c r="BB223" i="1"/>
  <c r="BB222" i="1" s="1"/>
  <c r="BB218" i="1" s="1"/>
  <c r="BA224" i="1"/>
  <c r="BA223" i="1" s="1"/>
  <c r="BA222" i="1" s="1"/>
  <c r="BA218" i="1" s="1"/>
  <c r="AS57" i="1" l="1"/>
  <c r="AS55" i="1" s="1"/>
  <c r="AR57" i="1"/>
  <c r="AR55" i="1" s="1"/>
  <c r="AY252" i="1"/>
  <c r="AY247" i="1" s="1"/>
  <c r="AS44" i="1"/>
  <c r="AS43" i="1" s="1"/>
  <c r="AS42" i="1" s="1"/>
  <c r="BG57" i="1"/>
  <c r="AZ79" i="1"/>
  <c r="AZ57" i="1" s="1"/>
  <c r="AZ55" i="1" s="1"/>
  <c r="AR44" i="1"/>
  <c r="AR43" i="1" s="1"/>
  <c r="AR42" i="1" s="1"/>
  <c r="BB61" i="1"/>
  <c r="BB60" i="1" s="1"/>
  <c r="BB59" i="1" s="1"/>
  <c r="BA62" i="1"/>
  <c r="BA61" i="1" s="1"/>
  <c r="BA60" i="1" s="1"/>
  <c r="BA59" i="1" s="1"/>
  <c r="AQ44" i="1"/>
  <c r="AQ43" i="1" s="1"/>
  <c r="AQ42" i="1" s="1"/>
  <c r="AQ57" i="1"/>
  <c r="AQ55" i="1" s="1"/>
  <c r="BB85" i="1"/>
  <c r="BB84" i="1" s="1"/>
  <c r="BA86" i="1"/>
  <c r="BA85" i="1" s="1"/>
  <c r="BA84" i="1" s="1"/>
  <c r="AX44" i="1"/>
  <c r="AX43" i="1" s="1"/>
  <c r="AX42" i="1" s="1"/>
  <c r="AX57" i="1"/>
  <c r="AX55" i="1" s="1"/>
  <c r="BA82" i="1"/>
  <c r="BA81" i="1" s="1"/>
  <c r="BA80" i="1" s="1"/>
  <c r="BB81" i="1"/>
  <c r="BB80" i="1" s="1"/>
  <c r="AY79" i="1"/>
  <c r="AY57" i="1" l="1"/>
  <c r="AY55" i="1" s="1"/>
  <c r="AZ44" i="1"/>
  <c r="AZ43" i="1" s="1"/>
  <c r="AZ42" i="1" s="1"/>
  <c r="BA79" i="1"/>
  <c r="BA44" i="1" s="1"/>
  <c r="BA43" i="1" s="1"/>
  <c r="BA42" i="1" s="1"/>
  <c r="BB79" i="1"/>
  <c r="BB57" i="1" s="1"/>
  <c r="BB55" i="1" s="1"/>
  <c r="AY44" i="1"/>
  <c r="AY43" i="1" s="1"/>
  <c r="AY42" i="1" s="1"/>
  <c r="BB44" i="1" l="1"/>
  <c r="BB43" i="1" s="1"/>
  <c r="BB42" i="1" s="1"/>
  <c r="BE42" i="1" s="1"/>
  <c r="BA57" i="1"/>
  <c r="BA55" i="1" s="1"/>
</calcChain>
</file>

<file path=xl/sharedStrings.xml><?xml version="1.0" encoding="utf-8"?>
<sst xmlns="http://schemas.openxmlformats.org/spreadsheetml/2006/main" count="1085" uniqueCount="613">
  <si>
    <t>Tỉnh Điện Biên</t>
  </si>
  <si>
    <t>Đơn vị vốn: Triệu đồng</t>
  </si>
  <si>
    <t>STT</t>
  </si>
  <si>
    <t>Danh mục dự án</t>
  </si>
  <si>
    <t>Địa điểm XD</t>
  </si>
  <si>
    <t>Địa điểm mở TK dự án</t>
  </si>
  <si>
    <t>Chủ đầu tư</t>
  </si>
  <si>
    <t>Mã số dự án đầu tư</t>
  </si>
  <si>
    <t>Năng lực thiết kế</t>
  </si>
  <si>
    <t>Thời gian KC-HT</t>
  </si>
  <si>
    <t>Quyết định đầu tư ban đầu hoặc QĐ đầu tư điều chỉnh đã được cấp thẩm quyền phê duyệt</t>
  </si>
  <si>
    <t xml:space="preserve">Lũy kế số vốn đã bố trí từ khởi công đến hết năm 2015 </t>
  </si>
  <si>
    <t>Lũy kế giải ngân từ khởi công đến hết ngày 31/12/2015</t>
  </si>
  <si>
    <t>Lũy kế vốn đã bố trí đến 31/12/2016</t>
  </si>
  <si>
    <t>Kế hoạch trung hạn
 giai đoạn 2016-2020</t>
  </si>
  <si>
    <t>Vốn đã thanh toán từ khởi công đến KH năm 2017</t>
  </si>
  <si>
    <t xml:space="preserve">Kế hoạch năm 2016 đã được cấp có thẩm quyền quyết định </t>
  </si>
  <si>
    <t xml:space="preserve">Kế hoạch năm 2017 đã được cấp có thẩm quyền quyết định </t>
  </si>
  <si>
    <t>Kế hoạch trung hạn đã giao đến hết năm 2017</t>
  </si>
  <si>
    <t>Kế hoạch 2018-2020</t>
  </si>
  <si>
    <t>Nhu cầu kế hoạch năm 2018</t>
  </si>
  <si>
    <t>Kế hoạch 2018</t>
  </si>
  <si>
    <t>Vốn đã thanh toán từ khởi công đến KH năm 2018</t>
  </si>
  <si>
    <t>Kế hoạch trung hạn đã giao đến hết năm 2018</t>
  </si>
  <si>
    <t>Kế hoạch 2019</t>
  </si>
  <si>
    <t>Vốn đã thanh toán từ khởi công đến KH năm 2019</t>
  </si>
  <si>
    <t>Kế hoạch trung hạn đã giao đến hết năm 2019</t>
  </si>
  <si>
    <t>Ghi chú</t>
  </si>
  <si>
    <t>Số quyết định; ngày, tháng, năm ban hành</t>
  </si>
  <si>
    <t xml:space="preserve">TMĐT </t>
  </si>
  <si>
    <t>Tổng số (tất cả các nguồn vốn)</t>
  </si>
  <si>
    <t>Trong đó: NSĐP</t>
  </si>
  <si>
    <t>Tổng số</t>
  </si>
  <si>
    <t xml:space="preserve">Trong đó: NSĐP </t>
  </si>
  <si>
    <t>Trong đó: vốn NSĐP</t>
  </si>
  <si>
    <t>Trong đó</t>
  </si>
  <si>
    <t xml:space="preserve">Thu hồi các khoản vốn ứng trước </t>
  </si>
  <si>
    <t>Thanh toán nợ XDCB</t>
  </si>
  <si>
    <t>Trong đó:</t>
  </si>
  <si>
    <t>Thu hồi các khoản ứng trước NSĐP</t>
  </si>
  <si>
    <t>A</t>
  </si>
  <si>
    <t xml:space="preserve"> Tổng nguồn</t>
  </si>
  <si>
    <t>A1</t>
  </si>
  <si>
    <t>Nguồn vốn được phân bổ</t>
  </si>
  <si>
    <t>1)</t>
  </si>
  <si>
    <t xml:space="preserve">Vốn hỗ trợ CĐNSĐP theo tiêu chí </t>
  </si>
  <si>
    <t xml:space="preserve"> - Vốn theo tiêu chí 40/QĐ-CP</t>
  </si>
  <si>
    <t xml:space="preserve"> - Chênh lệch bội thu NSĐP so với số thực chi trả</t>
  </si>
  <si>
    <t>2)</t>
  </si>
  <si>
    <t xml:space="preserve"> Vốn từ nguồn thu sử dụng đất</t>
  </si>
  <si>
    <t>3)</t>
  </si>
  <si>
    <t xml:space="preserve"> Vốn Xổ số kiến thiết</t>
  </si>
  <si>
    <t>A2</t>
  </si>
  <si>
    <t>Nguồn vốn không phân bổ thực hiện dự án (bố trí để trả nợ vay, lãi vay)</t>
  </si>
  <si>
    <t xml:space="preserve"> </t>
  </si>
  <si>
    <t>Chi tiết ở phần cuối Biểu</t>
  </si>
  <si>
    <t xml:space="preserve"> Bội thu ngân sách địa phương</t>
  </si>
  <si>
    <t>Chính phủ cho vay để trả nợ gốc</t>
  </si>
  <si>
    <t>Chênh lệch bội thu NSĐP so với số thực chi trả</t>
  </si>
  <si>
    <t>B</t>
  </si>
  <si>
    <t>Phân bổ thực hiện theo địa bàn</t>
  </si>
  <si>
    <t>Trong đó: Chi cho Giáo dục 20%</t>
  </si>
  <si>
    <t>B1</t>
  </si>
  <si>
    <t>Nguồn vốn theo tiếu chí 40/2015/QĐ-TTg + Nguồn thu sử dụng đất</t>
  </si>
  <si>
    <t>I</t>
  </si>
  <si>
    <t>Thực hiện dự án</t>
  </si>
  <si>
    <t>1</t>
  </si>
  <si>
    <t>Dự án chuyển tiếp từ giai đoạn 2011-2015 sang giai đoạn 2016-2020</t>
  </si>
  <si>
    <t>a)</t>
  </si>
  <si>
    <t>Dự án hoàn thành và bàn giao đưa vào sử dụng trước năm 2015</t>
  </si>
  <si>
    <t>b)</t>
  </si>
  <si>
    <t>Dự án chuyển tiếp sang giai đoạn 2016-2020</t>
  </si>
  <si>
    <t>2</t>
  </si>
  <si>
    <t>Dự án khởi công mới trong giai đoạn 2016-2020</t>
  </si>
  <si>
    <t>II</t>
  </si>
  <si>
    <t xml:space="preserve"> Đối ứng các dự án ODA</t>
  </si>
  <si>
    <t>III</t>
  </si>
  <si>
    <t xml:space="preserve"> Trả nợ Ngân hàng PT
 (tín dụng NN)</t>
  </si>
  <si>
    <t>IV</t>
  </si>
  <si>
    <t xml:space="preserve"> Hỗ trợ Dự án trọng điểm </t>
  </si>
  <si>
    <t xml:space="preserve">Tổng nguồn </t>
  </si>
  <si>
    <t>A.1</t>
  </si>
  <si>
    <t>Vốn hỗ trợ CĐNSĐP theo tiêu chí 40/QĐ-CP</t>
  </si>
  <si>
    <r>
      <t xml:space="preserve"> Vốn từ nguồn thu sử dụng đất </t>
    </r>
    <r>
      <rPr>
        <i/>
        <sz val="11"/>
        <rFont val="Times New Roman"/>
        <family val="1"/>
      </rPr>
      <t xml:space="preserve">(không bao gồm đầu tư nguồn thu của cơ quan sử dụng đất; đầu tư hạ tầng từ đấu giá đất) </t>
    </r>
  </si>
  <si>
    <t>A'</t>
  </si>
  <si>
    <t>Trả phí, lãi vay, vay</t>
  </si>
  <si>
    <t xml:space="preserve">Chênh lệch do số Bội thu Trung ương giao </t>
  </si>
  <si>
    <t>Dự án vay từ nguồn Chính phủ vay về cho vay lại</t>
  </si>
  <si>
    <t>Ưu tiên dự án trọng điểm Quốc gia Nâng cấp Sân bay Điện Biên (trong đó:  Xây dựng cơ sở hạ tầng 4 điểm TĐC dự án Nâng cấp, cải tạo Cảng hàng không Điện Biên)</t>
  </si>
  <si>
    <t>Dự án trọng điểm theo chỉ đạo của Ban Thường vụ Tỉnh ủy văn bản số ......</t>
  </si>
  <si>
    <t>Vốn theo tiêu chí phân bổ</t>
  </si>
  <si>
    <t xml:space="preserve">Thành phố Điện Biên Phủ </t>
  </si>
  <si>
    <t>(1)</t>
  </si>
  <si>
    <t>Các dự án hoàn thành, bàn giao, đưa vào sử dụng đến ngày 31/12/2019</t>
  </si>
  <si>
    <t>b</t>
  </si>
  <si>
    <t>Dự án nhóm C</t>
  </si>
  <si>
    <t>Đường vào Trường Dạy nghề tỉnh Điện Biên</t>
  </si>
  <si>
    <t>ĐBP</t>
  </si>
  <si>
    <t>Trường CĐ Nghề</t>
  </si>
  <si>
    <t>GT cấp IV; 498m</t>
  </si>
  <si>
    <t>2017-2019</t>
  </si>
  <si>
    <t>775/QĐ-UBND ngày 31/8/2017</t>
  </si>
  <si>
    <t>Năm 2012 đã được TT vốn TĐC 263 trđ CBĐT</t>
  </si>
  <si>
    <t>(2)</t>
  </si>
  <si>
    <t>Các dự án chuyển tiếp hoàn thành năm 2020</t>
  </si>
  <si>
    <t>Công trình Cải tạo, xử lý triệt để ô nhiễm bãi chôn lấp rác thải Noong Bua, thành phố Điện Biên Phủ</t>
  </si>
  <si>
    <t>STNMT</t>
  </si>
  <si>
    <t>2015-2018</t>
  </si>
  <si>
    <t xml:space="preserve">316/QĐ-UBND 
18/3/2016 </t>
  </si>
  <si>
    <t>KH 2019 Bs 6.317 triệu đồng, dư án đã QT</t>
  </si>
  <si>
    <t>Hạ tầng kỹ thuật khung khu trụ sở cơ quan, khu công cộng, khu thương mại dịch vụ dọc trục đường 60m</t>
  </si>
  <si>
    <t>Sở TNMT</t>
  </si>
  <si>
    <t>2018-2022</t>
  </si>
  <si>
    <t>106/QĐ-UBND ngày 13/02/2017</t>
  </si>
  <si>
    <t>Cầu dầm BTCT L=33 m bản Ta Pô</t>
  </si>
  <si>
    <t>UBND TPĐBP</t>
  </si>
  <si>
    <t>2018-2019</t>
  </si>
  <si>
    <t>1102/QĐ-UBND ngày 30/10/2017</t>
  </si>
  <si>
    <t>TT Dứt điểm</t>
  </si>
  <si>
    <t>Xây dựng trường mầm non Nam Thanh</t>
  </si>
  <si>
    <t>08 PH</t>
  </si>
  <si>
    <t>2019-2020</t>
  </si>
  <si>
    <t>772/QĐ-UBND ngày 17/9/2018</t>
  </si>
  <si>
    <t>DA Cải tạo các tuyến ống mạng cấp II + III tại Thành phố Điện Biên Phủ</t>
  </si>
  <si>
    <t>Công ty CP cấp nước ĐB</t>
  </si>
  <si>
    <t>2018-2020</t>
  </si>
  <si>
    <t>1000/QĐ-UBND ngày 30/10/2018</t>
  </si>
  <si>
    <t>Cải tạo và mở rộng trụ sở Thành ủy - HĐND, UBND thành phố</t>
  </si>
  <si>
    <t>997/QĐ-UBND ngày 30/10/2018</t>
  </si>
  <si>
    <t>Hỗ trợ xây dựng nhà máy xử lý rác thải tại bãi Púng Min, xã Pom Lót, huyện Điện Biên, tỉnh Điện Biên</t>
  </si>
  <si>
    <t>978/QĐ-UBND ngày 30/10/2018</t>
  </si>
  <si>
    <t>Đầu tư bổ sung CSVC trung tâm KTTH-HN tỉnh</t>
  </si>
  <si>
    <t>Sở Giáo dục &amp; ĐT</t>
  </si>
  <si>
    <t>CT,SC, xây mới HMPT</t>
  </si>
  <si>
    <t>2017-2018</t>
  </si>
  <si>
    <t>876/QĐ-UBND  06/7/2016</t>
  </si>
  <si>
    <t>Hết nhu cầu</t>
  </si>
  <si>
    <t>(4)</t>
  </si>
  <si>
    <t>Các dự án dự kiến KCM năm 2020</t>
  </si>
  <si>
    <t xml:space="preserve">Đường tổ dân phố 11 đến bản Na Púng phường Thanh Trường </t>
  </si>
  <si>
    <t>Tp ĐBP</t>
  </si>
  <si>
    <t>1089/QĐ-UBND ngày 29/10/2019</t>
  </si>
  <si>
    <t>KCM 2020</t>
  </si>
  <si>
    <t>Trụ sở làm việc Ban quản lý dự án các công trình Nông nghiệp và Phát triển nông thôn Điện Biên</t>
  </si>
  <si>
    <t>Ban QLDA các CT NN7PTNT</t>
  </si>
  <si>
    <t>2020-2021</t>
  </si>
  <si>
    <t>1104/QĐ-UBND ngày 29/10/2019</t>
  </si>
  <si>
    <t>Sửa chữa, cải tạo trụ sở các ban, Đảng và các hạng mục phụ trợ Thành ủy Điện Biên Phủ</t>
  </si>
  <si>
    <t>1081/QĐ-UBND ngày 29/10/2019</t>
  </si>
  <si>
    <t>Huyện Điện Biên</t>
  </si>
  <si>
    <t>a</t>
  </si>
  <si>
    <t>Trường Mầm non Thị trấn huyện Điện Biên</t>
  </si>
  <si>
    <t>Điện Biên</t>
  </si>
  <si>
    <t>UBND huyện ĐB</t>
  </si>
  <si>
    <t>6 PH; phụ trợ</t>
  </si>
  <si>
    <t>984/QĐ-UBND 27/10/2017</t>
  </si>
  <si>
    <t>TT dứt điểm</t>
  </si>
  <si>
    <t>Nước sinh hoạt tập trung khu vực Pom Lót huyện Điện Biên</t>
  </si>
  <si>
    <t>Cty TNHH Cấp nước ĐB</t>
  </si>
  <si>
    <t>922/QĐ-UBND ngày 09/10/2017</t>
  </si>
  <si>
    <t>Các dự án dự kiến hoàn thành năm 2020</t>
  </si>
  <si>
    <t>Dự án nhóm B</t>
  </si>
  <si>
    <t xml:space="preserve"> Đường Tây Trang-Bản Pa Thơm</t>
  </si>
  <si>
    <t>29km</t>
  </si>
  <si>
    <t xml:space="preserve"> 15-19</t>
  </si>
  <si>
    <t xml:space="preserve"> 837-30/10/2014</t>
  </si>
  <si>
    <t>c</t>
  </si>
  <si>
    <t>Đường QL279 - đi bản Nà Pen 1,2,3 xã Nà Nhạn, huyện Điện Biên</t>
  </si>
  <si>
    <t>1183/QĐ-UBND 23/09/2016</t>
  </si>
  <si>
    <t xml:space="preserve">Đã lồng ghép CT 135 </t>
  </si>
  <si>
    <t xml:space="preserve"> Đường nội thị huyện Điện Biên (GĐII)</t>
  </si>
  <si>
    <t>1012/QĐ-UBND 30/10/2017</t>
  </si>
  <si>
    <t>(3)</t>
  </si>
  <si>
    <t>Các dự án dự kiến hoàn thành sau năm 2020</t>
  </si>
  <si>
    <t xml:space="preserve">Xây dựng trụ sở UBND xã Sam Mứn   </t>
  </si>
  <si>
    <t>2019-2021</t>
  </si>
  <si>
    <t>1013/QĐ-UBND ngày 30/10/2018</t>
  </si>
  <si>
    <t>Trụ sở xã Thanh Nưa</t>
  </si>
  <si>
    <t>1019/QĐ-UBND ngày 31/10/2018</t>
  </si>
  <si>
    <t>Bổ sung csvc trường THPT huyện Điện Biên</t>
  </si>
  <si>
    <t>Sở Giáo dục &amp; Đào tạo</t>
  </si>
  <si>
    <t>BGH 247m2</t>
  </si>
  <si>
    <t>19-20</t>
  </si>
  <si>
    <t>502/QĐ-UBND 04/6/2019</t>
  </si>
  <si>
    <t xml:space="preserve">Xây dựng trụ sở xã Mường Lói </t>
  </si>
  <si>
    <t>2020-2022</t>
  </si>
  <si>
    <t>1068/QĐ-UBND ngày 29/10/2019</t>
  </si>
  <si>
    <t>Trung tâm khuyến nông giống cây trồng vật nuôi tỉnh Điện Biên</t>
  </si>
  <si>
    <t>Ban QLDA các CT NN&amp;PTNT</t>
  </si>
  <si>
    <t>963/QĐ-UBND ngày 29/10/2018</t>
  </si>
  <si>
    <t>Đường vào nghĩa trang C1 giai đoạn II</t>
  </si>
  <si>
    <t>975/QĐ-UBND ngày 30/10/2018</t>
  </si>
  <si>
    <t>Đường QL 279 - Bản Noong Hẹt, huyện Điện Biên</t>
  </si>
  <si>
    <t>1085/QĐ-UBND ngày 29/10/2019</t>
  </si>
  <si>
    <t>Cải tạo, nâng cấp tuyến đường từ ngã ba Nậm Thanh - bản U Va xã Noong Luống, huyện Điện Biên</t>
  </si>
  <si>
    <t>1087/QĐ-UBND ngày 29/10/2019</t>
  </si>
  <si>
    <t>Huyện Tuần Giáo</t>
  </si>
  <si>
    <t>Trường THCS xã Chiềng Đông huyện Tuần Giáo</t>
  </si>
  <si>
    <t>Tuần Giáo</t>
  </si>
  <si>
    <t>UBND huyện TG</t>
  </si>
  <si>
    <t>2016-2020</t>
  </si>
  <si>
    <t>1493/QĐ-UB
29/11/2016</t>
  </si>
  <si>
    <t>Đến 30/9/2019 giải ngân đạt 17% KH vốn 2019</t>
  </si>
  <si>
    <t xml:space="preserve"> Trụ sở  xã Tỏa Tình huyện Tuần Giáo</t>
  </si>
  <si>
    <t>326/QĐ-UBND
14/04/2017</t>
  </si>
  <si>
    <t>Bs KH 2019 TT Dứt điểm</t>
  </si>
  <si>
    <t>Trụ sở xã Phình Sáng huyện Tuần Giáo</t>
  </si>
  <si>
    <t>1457/QĐ-UBND 17/11/2016</t>
  </si>
  <si>
    <t xml:space="preserve"> Trụ sở xã Tênh Phông huyện Tuần Giáo</t>
  </si>
  <si>
    <t>1456/QĐ-UBND 17/11/2016</t>
  </si>
  <si>
    <t>Trường THCS xã Quài Cang huyện Tuần Giáo</t>
  </si>
  <si>
    <t>10 PH</t>
  </si>
  <si>
    <t>984/QĐ-UBND 30/10/2018</t>
  </si>
  <si>
    <t>Trường Mầm non thị trấn Tuần Giáo</t>
  </si>
  <si>
    <t>8 PH</t>
  </si>
  <si>
    <t>2018-2021</t>
  </si>
  <si>
    <t>983/QĐ-UBND 30/10/2018</t>
  </si>
  <si>
    <t>Đường Trung tâm xã Rạng Đông – Bản Háng Á</t>
  </si>
  <si>
    <t>5km</t>
  </si>
  <si>
    <t>992/QĐ-UBND 30/10/2018</t>
  </si>
  <si>
    <t>LG 135, Đ/c KH 2019</t>
  </si>
  <si>
    <t>Trường MN Mùn Chung xã Mùn Chung</t>
  </si>
  <si>
    <t>985/QĐ-UBND 30/10/2018</t>
  </si>
  <si>
    <t>Trường Mầm Non Mường Mùn</t>
  </si>
  <si>
    <t>xã Mường Mùn</t>
  </si>
  <si>
    <t>UBND huyện T.Giáo</t>
  </si>
  <si>
    <t>1072/QĐ-UBND 29/10/2019</t>
  </si>
  <si>
    <t>Trạm y tế Phình Sáng</t>
  </si>
  <si>
    <t>xã Phình Sáng</t>
  </si>
  <si>
    <t>Sở Y tế</t>
  </si>
  <si>
    <t>1070/QĐ-UBND 29/10/2019</t>
  </si>
  <si>
    <t>Đường QL6 - Bản Kệt xã Quài Cang</t>
  </si>
  <si>
    <t>xã Quài Cang</t>
  </si>
  <si>
    <t>1088/QĐ-UBND 29/10/2019</t>
  </si>
  <si>
    <t xml:space="preserve">Huyện Điện Biên Đông </t>
  </si>
  <si>
    <t>Phương án bố trí dân cư vùng có nguy cơ sạt lở, lũ quét, ĐBKK các bản Suối Lư I, Suối Lư II, Suối Lư III, đến định cư tại khu vực Huổi Po, xã Keo Lôm, huyện Điện Biên Đông</t>
  </si>
  <si>
    <t>H.ĐBĐ</t>
  </si>
  <si>
    <t>UBND huyện ĐBĐ</t>
  </si>
  <si>
    <t>74 hộ</t>
  </si>
  <si>
    <t>151/QĐ-UBND 14/02/2015</t>
  </si>
  <si>
    <t xml:space="preserve"> Đường Pá Pao - Mường Luân xã Mường Luân</t>
  </si>
  <si>
    <t>Điện Biên
 Đông</t>
  </si>
  <si>
    <t>985/QĐ-UBND 27/10/2017</t>
  </si>
  <si>
    <t xml:space="preserve">KH 2019 Đ/c tăng </t>
  </si>
  <si>
    <t>Đường Mường Luân - Co Kham - Na Hát - Páo Sinh</t>
  </si>
  <si>
    <t>ĐBĐ</t>
  </si>
  <si>
    <t>853/QĐ-UBND ngày 20/9/2017</t>
  </si>
  <si>
    <t>Trạm y tế Phì Nhừ</t>
  </si>
  <si>
    <t>1073/QĐ-UBND ngày 29/10/2019</t>
  </si>
  <si>
    <t>Dự án di chuyển tạm thời khu trung tâm xã Tìa Dình, huyện Điện Biên Đông</t>
  </si>
  <si>
    <t>1097/QĐ-UBND ngày 29/10/2019</t>
  </si>
  <si>
    <t>Dự án khẩn cấp</t>
  </si>
  <si>
    <t>V</t>
  </si>
  <si>
    <t>Huyện Mường Ảng</t>
  </si>
  <si>
    <t>Hồ chứa nước Ẳng Cang (Dự án Nhóm B)</t>
  </si>
  <si>
    <t>Mường Ẳng</t>
  </si>
  <si>
    <t>UBND huyện M.Ảng</t>
  </si>
  <si>
    <t xml:space="preserve"> 400ha lúa, 1000 ha cà phê, NSH 10.000 dân</t>
  </si>
  <si>
    <t xml:space="preserve"> 2009-2015</t>
  </si>
  <si>
    <t>1487QĐ-UB
17/03/2011
06/12//2007
'249/QĐ-UB</t>
  </si>
  <si>
    <t>Đến 30/9/2019 chưa giải ngân KH 2019</t>
  </si>
  <si>
    <t>Trạm y tế TT Mường Ảng</t>
  </si>
  <si>
    <t>1318/QĐ-UBND 27/10/2016</t>
  </si>
  <si>
    <t>VI</t>
  </si>
  <si>
    <t>Huyện Mường Nhé</t>
  </si>
  <si>
    <t>Dự án nhóm c</t>
  </si>
  <si>
    <t>Cầu treo bản Mường Nhé, xã Mường Nhé</t>
  </si>
  <si>
    <t>Mường Nhé</t>
  </si>
  <si>
    <t>UBND huyện M.Nhé</t>
  </si>
  <si>
    <t> 921/QĐ-UBND
21/07/2016</t>
  </si>
  <si>
    <t>Các dự dự kiến hoàn thành năm 2020</t>
  </si>
  <si>
    <t>Trụ sở xã Leng Su Sìn</t>
  </si>
  <si>
    <t xml:space="preserve">1082/QĐ-UBND 26/8/2016 </t>
  </si>
  <si>
    <t>Trụ sở xã Nậm Kè</t>
  </si>
  <si>
    <t>723/QĐ-UBND
18/08/2017</t>
  </si>
  <si>
    <t>Đường Ngã Ba - Huổi Pinh xã Mường Toong, huyện Mường Nhé</t>
  </si>
  <si>
    <t xml:space="preserve"> 887/QĐ-UBND ngày 11/07/2016</t>
  </si>
  <si>
    <t>PKĐKKV Leng Su Sìn (Thành lập mới)</t>
  </si>
  <si>
    <t>1348/QĐ-UBND ngày 28/10/2016</t>
  </si>
  <si>
    <t>Trường THCS xã Huổi Lếch</t>
  </si>
  <si>
    <t>2017-2020</t>
  </si>
  <si>
    <t>1018/QĐ-UBND ngày 30/10/2017</t>
  </si>
  <si>
    <t>Trụ sở xã Huổi Lếch</t>
  </si>
  <si>
    <t>712/QĐ-UBND ngày 18/8/2017</t>
  </si>
  <si>
    <t>Các dự dự kiến hoàn thành sau năm 2020</t>
  </si>
  <si>
    <t>Nhà Đa năng và các hạng mục phụ trợ trường THPT huyện Mường Nhé</t>
  </si>
  <si>
    <t>Sở GĐ&amp;ĐT</t>
  </si>
  <si>
    <t>546m2; phụ trợ</t>
  </si>
  <si>
    <t>866/QĐ-UBND 11/10/2018</t>
  </si>
  <si>
    <t>Trường bán trú THCS Mường Nhé</t>
  </si>
  <si>
    <t>MN</t>
  </si>
  <si>
    <t>UBND huyện Mường Nhé</t>
  </si>
  <si>
    <t>883/QĐ-UBND 18/9/2019</t>
  </si>
  <si>
    <t>Thủy lợi Huổi Khon xã Nậm Kè</t>
  </si>
  <si>
    <t>1118/QĐ-UBND 30/10/2019</t>
  </si>
  <si>
    <t>Đường quốc lộ 4h đến bản chà lọi 1 và 2</t>
  </si>
  <si>
    <t>1060/QĐ-UBND 29/10/2019</t>
  </si>
  <si>
    <t>Nghĩa trang nhân dân huyện Mường Nhé</t>
  </si>
  <si>
    <t>VII</t>
  </si>
  <si>
    <t xml:space="preserve">Huyện Mường Chà </t>
  </si>
  <si>
    <t xml:space="preserve"> Đường Hừa Ngài - Pa Ham</t>
  </si>
  <si>
    <t>Mường Chà</t>
  </si>
  <si>
    <t>UBND huyện M.Chà</t>
  </si>
  <si>
    <t>989, ngày 31/10/2012</t>
  </si>
  <si>
    <t xml:space="preserve"> Đường Chà Tở - Mường Tùng</t>
  </si>
  <si>
    <t>Ban QLDA GT</t>
  </si>
  <si>
    <t>230/QĐ-UBND  27/2/2010;
394/QĐ-UBND
08/5/2017</t>
  </si>
  <si>
    <t>Trụ sở xã Mường Tùng, huyện Mường Chà</t>
  </si>
  <si>
    <t>2016-2018</t>
  </si>
  <si>
    <t>1446/QĐ-UBND
23/12/2015</t>
  </si>
  <si>
    <t xml:space="preserve">Xây dựng cơ sở hạ tầng khu A thị trấn Mường Chà </t>
  </si>
  <si>
    <t>2016-2019</t>
  </si>
  <si>
    <t>1338/QĐ-UBND
28/10/2016</t>
  </si>
  <si>
    <t>Nâng cấp đường giao thông QL 12 - bản Huổi Meo</t>
  </si>
  <si>
    <t>1035/QĐ-UBND
10/8/2016</t>
  </si>
  <si>
    <t>Trường mầm non Huổi Mí,huyện Mường Chà</t>
  </si>
  <si>
    <t>4 PH; hiệu bộ</t>
  </si>
  <si>
    <t>621/QĐ-UBND ngày 14/07/2017</t>
  </si>
  <si>
    <t>Trường mầm non Nậm Nèn, xã Nậm Nèn</t>
  </si>
  <si>
    <t>402/QĐ-UBND ngày 10/5/2018</t>
  </si>
  <si>
    <t>Trường THCS Huổi Mí xã Huổi Mí</t>
  </si>
  <si>
    <t>622/QĐ-UBND ngày 14/7/2017</t>
  </si>
  <si>
    <t>Đường giao thông TT xã Hừa Ngài - bản Phua Di Tổng</t>
  </si>
  <si>
    <t>702/QĐ-UBND ngày 21/8/2018</t>
  </si>
  <si>
    <t>Bãi xử lý rác thải huyện</t>
  </si>
  <si>
    <t>998/QĐ-UBND ngày 30/10/2018</t>
  </si>
  <si>
    <t>Trường Mầm non Na Sang</t>
  </si>
  <si>
    <t>661/QĐ-UBND ngày 09/8/2018</t>
  </si>
  <si>
    <t>Nâng cấp, sửa chữa đường giao thông Ma Thì Hồ - Nậm Chua, huyện Mường Chà</t>
  </si>
  <si>
    <t>1000/QĐ-UBND ngày 17/10/2019</t>
  </si>
  <si>
    <t>VIII</t>
  </si>
  <si>
    <t>Huyện Tủa Chùa</t>
  </si>
  <si>
    <t>Các dự án dự kiến hoàn thành năm 2018</t>
  </si>
  <si>
    <t xml:space="preserve"> Truờng Mầm non, THCS xã Sín chải (gđ I-gđII)</t>
  </si>
  <si>
    <t>Tủa Chùa</t>
  </si>
  <si>
    <t>UBND huyện T.Chùa</t>
  </si>
  <si>
    <t>GĐ II: 2016-2018</t>
  </si>
  <si>
    <t>848, ngày 19/9/2012; 1023/QĐ-UBND ngày 08/8/2016</t>
  </si>
  <si>
    <t>KH2017 bổ sung KD năm 2016 là 5 tỷ</t>
  </si>
  <si>
    <t>Dự án bố trí ổn định dân cư vùng thiên tai bản Hột, xã Mường Đun, huyện Tủa Chùa.</t>
  </si>
  <si>
    <t>H.TC</t>
  </si>
  <si>
    <t>54 hộ</t>
  </si>
  <si>
    <t>189/QĐ-UBND 10/10/2014</t>
  </si>
  <si>
    <t>Xây dựng đường vào và các công trình phụ trợ thuộc di tích cấp Quốc gia, danh lam thắng cảnh hang động Xá Nhè và Khó Chua La, xã Xá Nhè, huyện Tủa Chùa</t>
  </si>
  <si>
    <t>1385/QĐ-UBND 28/10/2016</t>
  </si>
  <si>
    <t>Đường Cu Dỉ Sang (xã Tả Phìn) - Lầu Câu Phình (xã Lao Xả Phình), huyện Tủa Chùa</t>
  </si>
  <si>
    <t>1237/QĐ-UB
04/10/2016</t>
  </si>
  <si>
    <t>Trường mầm non thị trấn Tủa Chùa</t>
  </si>
  <si>
    <t>Ban QLDA huyện T.Chùa</t>
  </si>
  <si>
    <t>979/QĐ-UBND 26/10/2017</t>
  </si>
  <si>
    <t>Trường THCS và THPT Quyết Tiến  huyện Tủa Chùa</t>
  </si>
  <si>
    <t>905/QĐ-UBND 23/10/2018</t>
  </si>
  <si>
    <t>Trụ sở làm việc Phòng Văn hóa - Thông tin huyện</t>
  </si>
  <si>
    <t>1016/QĐ-UBND 31/10/2018</t>
  </si>
  <si>
    <t>Các tuyến nhánh A, B, D đường nội thị thị trấn Tủa Chùa</t>
  </si>
  <si>
    <t>Tổng mức đầu tư 40 tỷ đồng (GĐ 2016-2020 bố trí 15 tỷ đồng; GĐ 2021-2025 bố trí phần vốn còn lại)</t>
  </si>
  <si>
    <t>Nước sinh hoạt trung tâm xã Huổi Só và bản Huổi Tra</t>
  </si>
  <si>
    <t>Bãi rác thị trấn Tủa Chùa</t>
  </si>
  <si>
    <t>IX</t>
  </si>
  <si>
    <t>Huyện Nậm Pồ</t>
  </si>
  <si>
    <t>Nước sinh hoạt bản Pắc A1 xã Na Cô Sa, huyện Nậm Pồ</t>
  </si>
  <si>
    <t>393/QĐ-UBND ngày 02/5/2019</t>
  </si>
  <si>
    <t>Dự án đã phê duyệt QT</t>
  </si>
  <si>
    <t xml:space="preserve"> Đường Km45 (Na pheo- Si Pa Phìn) đi Nà Hỳ</t>
  </si>
  <si>
    <t>Nậm Pồ</t>
  </si>
  <si>
    <t>Ban QLDA CTGT</t>
  </si>
  <si>
    <t>6,5km</t>
  </si>
  <si>
    <t>14-17</t>
  </si>
  <si>
    <t>1099/QĐ-UBND ngày 29/10/2015</t>
  </si>
  <si>
    <t>CĐNSĐP tỉnh hỗ trợ 30 tỷ</t>
  </si>
  <si>
    <t>Đường dân sinh Vàng Đán Dạo - Huổi Dạo xã Vàng Đán</t>
  </si>
  <si>
    <t>UBND huyện N.Pồ</t>
  </si>
  <si>
    <t>1373/QĐ-UBND 28/10/2016</t>
  </si>
  <si>
    <t>Thủy lợi Nậm Pố xã Nà Hỳ, huyện Nậm Pồ</t>
  </si>
  <si>
    <t>xã Nà Hỳ</t>
  </si>
  <si>
    <t>Ban QLDA NN&amp;PTNT</t>
  </si>
  <si>
    <t>2020-2024</t>
  </si>
  <si>
    <t>877/QĐ-UBND ngày 17/9/2019</t>
  </si>
  <si>
    <t>Trụ sở xã Nậm Tin</t>
  </si>
  <si>
    <t>xã Nậm Tin</t>
  </si>
  <si>
    <t>UBND huyện Nậm Pồ</t>
  </si>
  <si>
    <t>1095/QĐ-UBND ngày 29/10/2019</t>
  </si>
  <si>
    <t>Trụ sở xã Vàng Đán</t>
  </si>
  <si>
    <t>xã Vàng Đán</t>
  </si>
  <si>
    <t>1096/QĐ-UBND ngày 29/10/2019</t>
  </si>
  <si>
    <t>Đường bê tông từ trung tâm xã Nậm Chua đi bản Nậm Chua 5</t>
  </si>
  <si>
    <t>bản Nậm Chua 5</t>
  </si>
  <si>
    <t>1113/QĐ-UBND ngày 30/10/2019</t>
  </si>
  <si>
    <t>Đường, cầu vào trường học xã Nậm Nhừ</t>
  </si>
  <si>
    <t>xã Nậm Nhừ</t>
  </si>
  <si>
    <t>1114/QĐ-UBND ngày 30/10/2019</t>
  </si>
  <si>
    <t>X</t>
  </si>
  <si>
    <t>Thị xã Mường Lay</t>
  </si>
  <si>
    <t xml:space="preserve">Hệ thống lưới điện sinh hoạt bản Hô Huổi Luông (8 km) </t>
  </si>
  <si>
    <t>TXML</t>
  </si>
  <si>
    <t>UBND TX M.Lay</t>
  </si>
  <si>
    <t>1280/QĐ-UBND ngày 25/12/2017</t>
  </si>
  <si>
    <t>KH 2018, 2019 chưa giải ngân</t>
  </si>
  <si>
    <t>Hệ thống lưới điện sinh hoạt bản Hô Nậm Cản (7 km)</t>
  </si>
  <si>
    <t>1282/QĐ-UBND ngày 25/12/2017</t>
  </si>
  <si>
    <t>Hệ thống lưới điện sinh hoạt bản Huổi Luân (2 km)</t>
  </si>
  <si>
    <t>1281/QĐ-UBND ngày 25/12/2017</t>
  </si>
  <si>
    <t>Trụ sở làm việc Công an xã Lay Nưa và  Ban CHQS cấp xã thị xã Mường Lay</t>
  </si>
  <si>
    <t>1328/QĐ-UBND ngày 29/12/2017</t>
  </si>
  <si>
    <t>Chuẩn bị đầu tư</t>
  </si>
  <si>
    <t>Xây dựng bến cảng Đồi Cao, Mường Lay</t>
  </si>
  <si>
    <t>CBĐT</t>
  </si>
  <si>
    <t>Nghĩa trang nhân dân thị xã Mường lay</t>
  </si>
  <si>
    <t>Dự án đầu tư cơ sở hạ tầng, hỗ trợ di dân thực hiện định canh, định cư cho đồng bào dân tộc thiểu số Bản Hô Nậm Cản, xã Lay Nưa</t>
  </si>
  <si>
    <t xml:space="preserve">XI </t>
  </si>
  <si>
    <t xml:space="preserve"> Quốc phòng - An ninh</t>
  </si>
  <si>
    <t>Các dự án dự kiến hoàn thành sau năm 2019</t>
  </si>
  <si>
    <t xml:space="preserve"> Hỗ trợ đầu tư công trình AD 05</t>
  </si>
  <si>
    <t>Bộ CHQS tỉnh</t>
  </si>
  <si>
    <t>174/QĐ-UBND, 24/02/2006
02//QĐ-UBND, 16/02/2011</t>
  </si>
  <si>
    <t>Bổ sung vốn trong trung hạn</t>
  </si>
  <si>
    <t>Các dự án dự kiến khởi công mới năm 2019</t>
  </si>
  <si>
    <t xml:space="preserve"> Trụ sở làm việc Ban CHQS xã - Công an xã (3 xã) huyện Mường Chà  (mỗi xã 1.300 triệu đồng)</t>
  </si>
  <si>
    <t>Mường 
Chà</t>
  </si>
  <si>
    <t>UBND huyện M. Chà</t>
  </si>
  <si>
    <t>699/QĐ-UBND ngày 21/8/2018</t>
  </si>
  <si>
    <t>Trụ sở làm việc Ban CHQS xã - Công an xã (3 xã Mường Phăng, Mường Pồn, Mường Nhà) huyện Điện Biên (mỗi xã 1.300 triệu đồng)</t>
  </si>
  <si>
    <t>ĐB</t>
  </si>
  <si>
    <t>1010/QĐ-UBND ngày 30/10/2018</t>
  </si>
  <si>
    <t xml:space="preserve"> Trụ sở làm việc Ban CHQS xã - Công an xã (3 xã) huyện Nậm Pồ (mỗi xã 1.300 triệu đồng)</t>
  </si>
  <si>
    <t>UBND huyện NP</t>
  </si>
  <si>
    <t>1059/QĐ-UBND ngày 29/10/2019</t>
  </si>
  <si>
    <t xml:space="preserve"> Trụ sở làm việc Ban CHQS xã - Công an xã (3 xã: xã Nậm Kè, Leng Su Sìn và Sín Thầu) huyện Mường Nhé </t>
  </si>
  <si>
    <t>UBND huyện MN</t>
  </si>
  <si>
    <t>926/QĐ-UBND ngày 27/9/2019</t>
  </si>
  <si>
    <t>Vốn phân bổ theo tiêu chí</t>
  </si>
  <si>
    <t>XII</t>
  </si>
  <si>
    <t xml:space="preserve"> Khoa học và công nghệ</t>
  </si>
  <si>
    <t>Các dự án dự kiến hoàn thành năm 2019</t>
  </si>
  <si>
    <t xml:space="preserve"> Dự án ứng dụng công nghệ thông tin trong HĐ các cơ quan Đảng Tỉnh Điện Biên</t>
  </si>
  <si>
    <t>TPĐBP</t>
  </si>
  <si>
    <t>VP Tỉnh ủy</t>
  </si>
  <si>
    <t>333/QĐ-UBND
23/3/2016</t>
  </si>
  <si>
    <t>XIII</t>
  </si>
  <si>
    <t xml:space="preserve"> Hỗ trợ dân tộc đặc biệt khó khăn (Dân tộc Cống) tỉnh ĐB (QĐ 1672/QĐ-TTg)</t>
  </si>
  <si>
    <t>Công trình quyết toán còn nợ vốn</t>
  </si>
  <si>
    <t>San nền giao thông thoát nước bản Si Văn, xã Pa Thơm</t>
  </si>
  <si>
    <t>Ban Dân tộc</t>
  </si>
  <si>
    <t>1122/QĐ-UBND ngày 30/10/2017</t>
  </si>
  <si>
    <t>San nền giao thông, thoát nước bản Púng Bon, xã Pa Thơm</t>
  </si>
  <si>
    <t>Nước sinh hoạt  bản  Lả Chà, xã Pa Tần, huyện Nậm Pồ</t>
  </si>
  <si>
    <t>KH 2019 đã giao 1.200 trđ</t>
  </si>
  <si>
    <t>Nước sinh hoạt bản Púng Bon, xã Pa Thơm, huyện Điện Biên</t>
  </si>
  <si>
    <t>658/QĐ-UBND ngày 04/7/2019</t>
  </si>
  <si>
    <t>Nước sinh hoạt bản Nậm Kè, xã Nậm Kè, huyện Mường Nhé</t>
  </si>
  <si>
    <t>1112/QĐ-UBND ngày 30/10/2019</t>
  </si>
  <si>
    <t>KH 2019 đã giao 1.736 trđ</t>
  </si>
  <si>
    <t>Thủy lợi bản Lả Chà</t>
  </si>
  <si>
    <t>687/QĐ-UBND ngày 04/7/2019</t>
  </si>
  <si>
    <t>5</t>
  </si>
  <si>
    <t>San nền giao thông, thoát nước bản Lả Chà - Lả Chà A</t>
  </si>
  <si>
    <t>1071/QĐ-UBND ngày 29/10/2019</t>
  </si>
  <si>
    <t>XIV</t>
  </si>
  <si>
    <t xml:space="preserve"> Các ngành Tỉnh - CT Công cộng</t>
  </si>
  <si>
    <t>Kho lưu trữ chuyên dụng tỉnh Điện Biên</t>
  </si>
  <si>
    <t>Sở Nội vụ</t>
  </si>
  <si>
    <t>406/QĐ-UBND, 30/3/2016; 717/QĐ-UBND ngày 30/7/2019</t>
  </si>
  <si>
    <t xml:space="preserve">Nhà thư viện thuộc Dự án Nhà thí nghiệm, thư viện Trường Cao đẳng Kinh tế - Kỹ thuật Điện Biên </t>
  </si>
  <si>
    <t>983/QĐ-UBND 30/10/2012; 923/QĐ-UBND 22/7/2016</t>
  </si>
  <si>
    <t>Cải tạo, sửa chữa Trụ sở UBND tỉnh</t>
  </si>
  <si>
    <t>1146/QĐ-UBND 30/10/2015</t>
  </si>
  <si>
    <t>Bổ sung theo Vb số 3385/UBND-TH ngày 20/11/2019, của UBND tỉnh</t>
  </si>
  <si>
    <t xml:space="preserve"> Dự án cấp điện nông thôn từ lưới điện quốc gia tỉnh Điện Biên giai đoạn 2014- 2020 </t>
  </si>
  <si>
    <t>Sở Công thương</t>
  </si>
  <si>
    <t>802/QĐ-UBND
22/10/2014</t>
  </si>
  <si>
    <t>3</t>
  </si>
  <si>
    <t>Trường THPT Lương Thế Vinh</t>
  </si>
  <si>
    <t>Sở GD&amp;ĐT</t>
  </si>
  <si>
    <t>835/QĐ-UBND  10/9/2012</t>
  </si>
  <si>
    <t>Đường dạo leo núi khu du lịch Pa Khoang</t>
  </si>
  <si>
    <t>VP UBND tỉnh</t>
  </si>
  <si>
    <t>2011-2020</t>
  </si>
  <si>
    <t>301/QĐ-UBND ngày 06/4/2011; 545/QDD-UBND ngày 05/7/2018</t>
  </si>
  <si>
    <t xml:space="preserve">Nhà Ký túc xá học viên và Các hạng mục phụ trợ Trường Chính trị tỉnh </t>
  </si>
  <si>
    <t>Trường Chính trị</t>
  </si>
  <si>
    <t>144 
người</t>
  </si>
  <si>
    <t>82/QĐ-UBND ngày 25/01/2017</t>
  </si>
  <si>
    <t>Nhà Đa năng, Nhà BGH và các hạng mục phụ trợ trường THPT Mường Nhà</t>
  </si>
  <si>
    <t>1001/QĐ-UBND 27/10/2017</t>
  </si>
  <si>
    <t>Trường phổ thông DTNT THPT huyện Nậm Pồ (huyện/ trường mới thành lập)</t>
  </si>
  <si>
    <t>1064/QĐ-UBND 30/10/2017</t>
  </si>
  <si>
    <t>LG vốn hỗ trợ có mục tiêu, xã hội hóa 40 tỷ đồng</t>
  </si>
  <si>
    <t xml:space="preserve"> Dự án đầu tư trang thiết bị cho hệ thống quan trắc và phân tích môi trường tỉnh Điện Biên</t>
  </si>
  <si>
    <t>Sở TN&amp;MT</t>
  </si>
  <si>
    <t>855/QĐ-UBND ngày 09/10/2018</t>
  </si>
  <si>
    <t>Trụ sở Ban QLDA các công trình Dân dụng và Công nghiệp tỉnh Điện Biên</t>
  </si>
  <si>
    <t>Ban QLDA CN&amp;XD</t>
  </si>
  <si>
    <t>696/QĐ-UBND ngày 21/8/2018</t>
  </si>
  <si>
    <t>11</t>
  </si>
  <si>
    <t xml:space="preserve">Sửa chữa, nâng cấp một số hạng mục Công trình Sân vận động tỉnh </t>
  </si>
  <si>
    <t>755/QĐ-UBND ngày 07/8/2019</t>
  </si>
  <si>
    <t>Các dự án chuyển tiếp hoàn thành sau năm 2020</t>
  </si>
  <si>
    <t>Nhà Đa năng và các hạng mục phụ trợ trường THPT Mường Ảng</t>
  </si>
  <si>
    <t>Mường Ảng</t>
  </si>
  <si>
    <t>567/QĐ-UBND ngày 17/7/2018</t>
  </si>
  <si>
    <t>Cơ sở hạ tầng các khu bảo tồn tỉnh Điện Biên (Giai đoạn I)</t>
  </si>
  <si>
    <t>1003/QĐ-UBND ngày 03/8/2016; Số 37/QĐ-UBND ngày 10/01/2018</t>
  </si>
  <si>
    <t>Xây dựng hạ tầng kỹ thuật chính quyền điện tử tỉnh Điện Biên (Giai đoạn I)</t>
  </si>
  <si>
    <t>Sở TTTT</t>
  </si>
  <si>
    <t xml:space="preserve">1405/QĐ-UBND ngày 31/10/2016; 703/QĐ-UBND ngày 22/8/2018 </t>
  </si>
  <si>
    <t>Bs KH 2019</t>
  </si>
  <si>
    <t xml:space="preserve"> XD Phòng học và Hội trường Trường CĐ Sư phạm</t>
  </si>
  <si>
    <t>911/QĐ-UBND 04/10/2017</t>
  </si>
  <si>
    <t xml:space="preserve"> XD mới Khoa tiền lâm sàng và sửa chữa, nâng cấp một số khoa, phòng và các hạng mục phụ trợ Trường CĐ Y tế Điện Biên. </t>
  </si>
  <si>
    <t>Trường CĐ Y tế Điện Biên</t>
  </si>
  <si>
    <t>1115/QĐ-UBND 30/10/2019</t>
  </si>
  <si>
    <t>Các hạng mục phụ trợ trường THCS và THPT Quải Tở</t>
  </si>
  <si>
    <t>760/QĐ-UBND 08/8/2019</t>
  </si>
  <si>
    <t>Trụ sở làm việc Trung tâm kiểm định chất lượng xây dựng tỉnh Điện Biên</t>
  </si>
  <si>
    <t>310/QĐ-UBND ngày 11/4/2019</t>
  </si>
  <si>
    <t>Bổ sung cơ sở vật chất trường THPT Thanh Nưa huyện Điện Biên</t>
  </si>
  <si>
    <t>Cải tạo, sửa chữa công trình Tượng đài chiến thắng Điện Biên Phủ</t>
  </si>
  <si>
    <t>Sở VTTT, DL</t>
  </si>
  <si>
    <t>881/QĐ-UBND 18/9/2019</t>
  </si>
  <si>
    <t>Nguồn sự nghiệp 9.100 triệu đồng</t>
  </si>
  <si>
    <t>Sửa chữa bổ sung một số điểm di tích chiến trường Điện Biên Phủ phục vụ 65 năm chiến thắng lịch sử Điện Biên Phủ</t>
  </si>
  <si>
    <t>500/QĐ-UBND ngày 04/6/2019</t>
  </si>
  <si>
    <t>Nâng cấp, sửa chữa CSVC, bổ sung trang thiết bị Trung tâm chữa bệnh - Giáo dục - LDDXH tỉnh</t>
  </si>
  <si>
    <t>Đền thờ tưởng niệm các anh hùng liệt sỹ hy sinh tại Chiến dịch Điện Biên Phủ</t>
  </si>
  <si>
    <t>XV</t>
  </si>
  <si>
    <t>A)</t>
  </si>
  <si>
    <t>Các dự án ODA do địa phương quản lý</t>
  </si>
  <si>
    <t>Dự án Giáo dục trung học cơ sở khu vực khó khăn, giai đoạn 2</t>
  </si>
  <si>
    <t xml:space="preserve">Trường PTDTBT THCS Tả Phìn, huyện Tủa Chùa </t>
  </si>
  <si>
    <t>499/QĐ-UBND ngày 04/6/2019</t>
  </si>
  <si>
    <t>Trường PTDTBT THCS Tênh Phông, huyện Tuần Giáo</t>
  </si>
  <si>
    <t>666/QĐ-UBND ngày 09/7/2019</t>
  </si>
  <si>
    <t>Trường THCS và THPT Quyết tiến huyện Tủa Chùa</t>
  </si>
  <si>
    <t>1163/QĐ-UBND ngày 08/11/2019</t>
  </si>
  <si>
    <t>Trường PTDTBT THCS Nậm Nhừ</t>
  </si>
  <si>
    <t>XVII</t>
  </si>
  <si>
    <t>Đến 30/9/2019 chưa giải ngân KH vốn năm 2019</t>
  </si>
  <si>
    <t>Công trình thủy lợi Nậm Khẩu Hu xã Thanh Nưa</t>
  </si>
  <si>
    <t>M.Ảng</t>
  </si>
  <si>
    <t>2009-2019</t>
  </si>
  <si>
    <t>2315/QĐ-UBND; 25/12/2009</t>
  </si>
  <si>
    <t>Xây dựng cơ sở hạ tầng 3 điểm TĐC dự án Nâng cấp, cải tạo Cảng hàng không Điện Biên</t>
  </si>
  <si>
    <t>UBND tp ĐBP</t>
  </si>
  <si>
    <t>4.1</t>
  </si>
  <si>
    <t>Xây dựng điểm TĐC số I  dự án Nâng cấp, cải tạo Cảng hàng không Điện Biên</t>
  </si>
  <si>
    <t>1084/QĐ-UBND ngày 29/10/2019</t>
  </si>
  <si>
    <t>4.2</t>
  </si>
  <si>
    <t>Xây dựng điểm TĐC số III (bổ sung Điểm TĐC C13 mở rộng) dự án Nâng cấp, cải tạo Cảng hàng không Điện Biên</t>
  </si>
  <si>
    <t>1083/QĐ-UBND ngày 29/10/2019</t>
  </si>
  <si>
    <t>4.3</t>
  </si>
  <si>
    <t>Xây dựng điểm TĐC C13  dự án Nâng cấp, cải tạo Cảng hàng không Điện Biên</t>
  </si>
  <si>
    <t>841/QĐ-UBND ngày 09/9/2019</t>
  </si>
  <si>
    <t>Thủy lợi Nậm Pố xã Nà Hỳ, huyện Mường Nhé</t>
  </si>
  <si>
    <t>8,5ha</t>
  </si>
  <si>
    <t>XVIII</t>
  </si>
  <si>
    <t>Thực hiện nhiệm vụ theo Luật QH</t>
  </si>
  <si>
    <t>Hỗ trợ Kinh phí thực hiện nhiệm vụ lập, thẩm định, công bố Quy hoạch tỉnh Điện Biên thời kỳ 2020 đến năm 2030</t>
  </si>
  <si>
    <t>Bố trí cho lập nhiệm vụ QH tỉnh Điện Biên đến năm 2030 tầm nhìn năm 2040</t>
  </si>
  <si>
    <t>XIX</t>
  </si>
  <si>
    <t>Các dự án còn nợ đọng XDCB</t>
  </si>
  <si>
    <t xml:space="preserve"> Xã Chiềng Sơ (đường Sư Lư - Chiềng Sơ - Luân Giới)</t>
  </si>
  <si>
    <t>XX</t>
  </si>
  <si>
    <t xml:space="preserve">Hỗ trợ kinh phí đầu tư ngoài hàng rào </t>
  </si>
  <si>
    <t>Dự án đường từ Hồng Sọt - Pá Sáng, xã Búng Lao</t>
  </si>
  <si>
    <t>xã Búng Lao</t>
  </si>
  <si>
    <t>UBND huyện MA</t>
  </si>
  <si>
    <t>1086/QĐ-UBND ngày 29/10/2019</t>
  </si>
  <si>
    <t>Dự án đường điện vào khu sản xuất nông nghiệp công nghệ cao, xã Búng Lao, huyện Mường Ảng</t>
  </si>
  <si>
    <t>1082/QĐ-UBND ngày 29/10/2019</t>
  </si>
  <si>
    <t>Vốn phân bổ theo định mức</t>
  </si>
  <si>
    <t>B2</t>
  </si>
  <si>
    <t>Nguồn vốn Xổ số kiến thiết</t>
  </si>
  <si>
    <t xml:space="preserve"> Trường mầm non, THCS tại xã Phình Sáng, huyện Tuần Giáo</t>
  </si>
  <si>
    <t>47 phòng học + Nhà Hiệu bộ + phụ trợ</t>
  </si>
  <si>
    <t>12-17</t>
  </si>
  <si>
    <t>287/QĐ-UBND
03/5/2012; 270/QĐ-UBND 10/4/2015; 738/QĐ-UBND 01/8/2019</t>
  </si>
  <si>
    <t xml:space="preserve"> Trạm y tế Chiềng Sơ Điện Biên Đông</t>
  </si>
  <si>
    <t>224m2</t>
  </si>
  <si>
    <t>16-20</t>
  </si>
  <si>
    <t>975/QĐ-UBND 26/10/2017</t>
  </si>
  <si>
    <t xml:space="preserve"> Trạm y tế Háng Lìa Điện Biên Đông</t>
  </si>
  <si>
    <t>216m2</t>
  </si>
  <si>
    <t>973/QĐ-UBND 26/10/2017</t>
  </si>
  <si>
    <t xml:space="preserve"> Trạm y tế Mùn Chung - Tuần Giáo</t>
  </si>
  <si>
    <t>195m2</t>
  </si>
  <si>
    <t>974/QĐ-UBND 26/10/2017</t>
  </si>
  <si>
    <t>Trường THPT huyện Nậm Pồ</t>
  </si>
  <si>
    <t>NNT, CVGV, BGH</t>
  </si>
  <si>
    <t>18-20</t>
  </si>
  <si>
    <t>951/QĐ-UBND 18/10/2017</t>
  </si>
  <si>
    <t>Các dự án dự chuyển tiếp hoàn thành năm 2020</t>
  </si>
  <si>
    <t xml:space="preserve"> Trường Mầm non An Bình, xã Mường Mùn</t>
  </si>
  <si>
    <t>982/QĐ-UBND 30/10/2018</t>
  </si>
  <si>
    <t>Các dự án khởi công mới năm 2020</t>
  </si>
  <si>
    <t xml:space="preserve"> Trạm y tế Phường Tân Thanh</t>
  </si>
  <si>
    <t>216 m2</t>
  </si>
  <si>
    <t>1015/QĐ-UBND 23/10/2019</t>
  </si>
  <si>
    <t xml:space="preserve"> Trạm y tế Phình Giàng Điện Biên Đông</t>
  </si>
  <si>
    <t>1074/QĐ-UBND 29/10/2019</t>
  </si>
  <si>
    <t xml:space="preserve"> Trường Mầm non xã Lao Xả Phình</t>
  </si>
  <si>
    <t>993/QĐ-UBND 30/10/2018</t>
  </si>
  <si>
    <t>Trả phí, lãi vay</t>
  </si>
  <si>
    <t>KẾ HOẠCH VỐN ĐẦU TƯ NGUỒN NSNN NĂM 2020 - VỐN CÂN ĐỐI NGÂN SÁCH ĐỊA PHƯƠNG</t>
  </si>
  <si>
    <t>4</t>
  </si>
  <si>
    <t>936a/QĐ-UBND 20/9/2011; 1099/QĐ-UBND ngày 29/10/2015</t>
  </si>
  <si>
    <t>36,5 km</t>
  </si>
  <si>
    <t xml:space="preserve"> Trả lãi vay đầu tư lưới điện nông thôn II (RE II)</t>
  </si>
  <si>
    <t>Trả lãi Chương trình đô thị miền núi phía Bắc - thành phố Điện Biên Phủ</t>
  </si>
  <si>
    <t>Trả lãi Chương trình mở rộng qui mô vệ sinh và nước sạch nông thôn dựa trên kết quả</t>
  </si>
  <si>
    <t>Trả lãi Chương trình phát triển nông thôn thích ứng thiên tai</t>
  </si>
  <si>
    <t>Biểu số 35</t>
  </si>
  <si>
    <t>Kế hoạch vốn 2020</t>
  </si>
  <si>
    <t>(Kèm theo Nghị quyết số 144/NQ-HĐND ngày 06 tháng 12 năm 2019 của HĐND tỉnh Điện Biên)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</si>
</sst>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_);_(* \(#,##0\);_(* &quot;-&quot;_);_(@_)"/>
    <numFmt numFmtId="165" formatCode="_(* #,##0.00_);_(* \(#,##0.00\);_(* &quot;-&quot;??_);_(@_)"/>
    <numFmt numFmtId="166" formatCode="_-* #,##0\ _₫_-;\-* #,##0\ _₫_-;_-* &quot;-&quot;??\ _₫_-;_-@_-"/>
    <numFmt numFmtId="167" formatCode="_(* #,##0_);_(* \(#,##0\);_(* &quot;-&quot;??_);_(@_)"/>
    <numFmt numFmtId="168" formatCode="&quot;$&quot;#,##0;\-&quot;$&quot;#,##0"/>
    <numFmt numFmtId="169" formatCode="0.000"/>
    <numFmt numFmtId="170" formatCode="_-&quot;ñ&quot;* #,##0_-;\-&quot;ñ&quot;* #,##0_-;_-&quot;ñ&quot;* &quot;-&quot;_-;_-@_-"/>
    <numFmt numFmtId="171" formatCode="#,##0.0"/>
    <numFmt numFmtId="172" formatCode="0.0"/>
  </numFmts>
  <fonts count="40">
    <font>
      <sz val="11"/>
      <color theme="1"/>
      <name val="Calibri"/>
      <family val="2"/>
      <scheme val="minor"/>
    </font>
    <font>
      <sz val="11"/>
      <color theme="1"/>
      <name val="Calibri"/>
      <family val="2"/>
      <scheme val="minor"/>
    </font>
    <font>
      <sz val="10"/>
      <name val="Arial"/>
      <family val="2"/>
    </font>
    <font>
      <b/>
      <i/>
      <sz val="14"/>
      <name val="Times New Roman"/>
      <family val="1"/>
    </font>
    <font>
      <sz val="11"/>
      <name val="Times New Roman"/>
      <family val="1"/>
      <charset val="163"/>
    </font>
    <font>
      <b/>
      <sz val="16"/>
      <name val="Times New Roman"/>
      <family val="1"/>
    </font>
    <font>
      <sz val="14"/>
      <name val="Times New Roman"/>
      <family val="1"/>
      <charset val="163"/>
    </font>
    <font>
      <sz val="14"/>
      <name val="Times New Roman"/>
      <family val="1"/>
    </font>
    <font>
      <b/>
      <sz val="14"/>
      <name val="Times New Roman"/>
      <family val="1"/>
    </font>
    <font>
      <i/>
      <sz val="14"/>
      <name val="Times New Roman"/>
      <family val="1"/>
      <charset val="163"/>
    </font>
    <font>
      <i/>
      <sz val="11"/>
      <name val="Times New Roman"/>
      <family val="1"/>
      <charset val="163"/>
    </font>
    <font>
      <i/>
      <sz val="11"/>
      <name val="Times New Roman"/>
      <family val="1"/>
    </font>
    <font>
      <b/>
      <i/>
      <sz val="11"/>
      <name val="Times New Roman"/>
      <family val="1"/>
      <charset val="163"/>
    </font>
    <font>
      <b/>
      <sz val="11"/>
      <name val="Times New Roman"/>
      <family val="1"/>
    </font>
    <font>
      <b/>
      <sz val="11"/>
      <name val="Times New Roman"/>
      <family val="1"/>
      <charset val="163"/>
    </font>
    <font>
      <b/>
      <i/>
      <sz val="11"/>
      <name val="Times New Roman"/>
      <family val="1"/>
    </font>
    <font>
      <sz val="11"/>
      <name val="Times New Roman"/>
      <family val="1"/>
    </font>
    <font>
      <sz val="10"/>
      <name val="Arial"/>
      <family val="2"/>
      <charset val="163"/>
    </font>
    <font>
      <sz val="9"/>
      <name val="Arial"/>
      <family val="2"/>
    </font>
    <font>
      <b/>
      <sz val="12"/>
      <name val="Times New Roman"/>
      <family val="1"/>
    </font>
    <font>
      <sz val="10"/>
      <color indexed="8"/>
      <name val="MS Sans Serif"/>
      <family val="2"/>
    </font>
    <font>
      <sz val="9"/>
      <name val="Times New Roman"/>
      <family val="1"/>
    </font>
    <font>
      <sz val="10"/>
      <name val="Times New Roman"/>
      <family val="1"/>
      <charset val="163"/>
    </font>
    <font>
      <sz val="11"/>
      <name val=".VnArial Narrow"/>
      <family val="2"/>
    </font>
    <font>
      <sz val="11"/>
      <name val=".VnArial Narrow"/>
      <family val="2"/>
      <charset val="163"/>
    </font>
    <font>
      <b/>
      <i/>
      <sz val="12"/>
      <name val="Times New Roman"/>
      <family val="1"/>
      <charset val="163"/>
    </font>
    <font>
      <sz val="12"/>
      <name val="Times New Roman"/>
      <family val="1"/>
      <charset val="163"/>
    </font>
    <font>
      <sz val="12"/>
      <name val="Times New Roman"/>
      <family val="1"/>
    </font>
    <font>
      <sz val="12"/>
      <name val=".VnArial Narrow"/>
      <family val="2"/>
    </font>
    <font>
      <sz val="11"/>
      <color indexed="8"/>
      <name val="Calibri"/>
      <family val="2"/>
    </font>
    <font>
      <b/>
      <sz val="11"/>
      <name val=".VnArial Narrow"/>
      <family val="2"/>
    </font>
    <font>
      <sz val="10"/>
      <name val="Helv"/>
      <family val="2"/>
    </font>
    <font>
      <sz val="11"/>
      <color theme="1"/>
      <name val="Arial"/>
      <family val="2"/>
    </font>
    <font>
      <b/>
      <i/>
      <sz val="11"/>
      <name val=".VnArial Narrow"/>
      <family val="2"/>
    </font>
    <font>
      <sz val="11"/>
      <color rgb="FF000000"/>
      <name val="Calibri"/>
      <family val="2"/>
    </font>
    <font>
      <sz val="11"/>
      <color indexed="8"/>
      <name val="Arial"/>
      <family val="2"/>
    </font>
    <font>
      <b/>
      <i/>
      <sz val="12"/>
      <name val="Times New Roman"/>
      <family val="1"/>
    </font>
    <font>
      <b/>
      <sz val="12"/>
      <name val="Times New Roman"/>
      <family val="1"/>
      <charset val="163"/>
    </font>
    <font>
      <sz val="10"/>
      <name val="Times New Roman"/>
      <family val="1"/>
    </font>
    <font>
      <sz val="8"/>
      <name val="Calibri"/>
      <family val="2"/>
      <scheme val="minor"/>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25">
    <xf numFmtId="0" fontId="0" fillId="0" borderId="0"/>
    <xf numFmtId="43"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17" fillId="0" borderId="0"/>
    <xf numFmtId="168" fontId="18" fillId="0" borderId="0" applyProtection="0"/>
    <xf numFmtId="0" fontId="20" fillId="0" borderId="0"/>
    <xf numFmtId="0" fontId="18" fillId="0" borderId="0"/>
    <xf numFmtId="0" fontId="22" fillId="0" borderId="0"/>
    <xf numFmtId="0" fontId="2" fillId="0" borderId="0"/>
    <xf numFmtId="0" fontId="2" fillId="0" borderId="0"/>
    <xf numFmtId="165" fontId="29" fillId="0" borderId="0" applyFont="0" applyFill="0" applyBorder="0" applyAlignment="0" applyProtection="0"/>
    <xf numFmtId="0" fontId="31" fillId="0" borderId="0"/>
    <xf numFmtId="0" fontId="32" fillId="0" borderId="0"/>
    <xf numFmtId="0" fontId="2" fillId="0" borderId="0"/>
    <xf numFmtId="43" fontId="2" fillId="0" borderId="0" applyFont="0" applyFill="0" applyBorder="0" applyAlignment="0" applyProtection="0"/>
    <xf numFmtId="170" fontId="29" fillId="0" borderId="0" applyFont="0" applyFill="0" applyBorder="0" applyAlignment="0" applyProtection="0"/>
    <xf numFmtId="0" fontId="2" fillId="0" borderId="0"/>
    <xf numFmtId="0" fontId="34" fillId="0" borderId="0"/>
    <xf numFmtId="43" fontId="2" fillId="0" borderId="0" applyFont="0" applyFill="0" applyBorder="0" applyAlignment="0" applyProtection="0"/>
    <xf numFmtId="0" fontId="35" fillId="0" borderId="0"/>
    <xf numFmtId="0" fontId="2" fillId="0" borderId="0"/>
    <xf numFmtId="165" fontId="2" fillId="0" borderId="0" applyFont="0" applyFill="0" applyBorder="0" applyAlignment="0" applyProtection="0"/>
    <xf numFmtId="0" fontId="2" fillId="0" borderId="0"/>
  </cellStyleXfs>
  <cellXfs count="337">
    <xf numFmtId="0" fontId="0" fillId="0" borderId="0" xfId="0"/>
    <xf numFmtId="166" fontId="14" fillId="0" borderId="0" xfId="1" applyNumberFormat="1" applyFont="1" applyFill="1" applyAlignment="1">
      <alignment horizontal="center" vertical="center" wrapText="1"/>
    </xf>
    <xf numFmtId="166" fontId="16" fillId="0" borderId="2" xfId="1" quotePrefix="1" applyNumberFormat="1" applyFont="1" applyFill="1" applyBorder="1" applyAlignment="1">
      <alignment horizontal="center" vertical="center" wrapText="1"/>
    </xf>
    <xf numFmtId="166" fontId="16" fillId="0" borderId="2" xfId="1" quotePrefix="1" applyNumberFormat="1" applyFont="1" applyFill="1" applyBorder="1" applyAlignment="1">
      <alignment horizontal="right" vertical="center" wrapText="1"/>
    </xf>
    <xf numFmtId="166" fontId="13" fillId="0" borderId="2" xfId="1" quotePrefix="1" applyNumberFormat="1" applyFont="1" applyFill="1" applyBorder="1" applyAlignment="1">
      <alignment horizontal="right" vertical="center" wrapText="1"/>
    </xf>
    <xf numFmtId="166" fontId="13" fillId="0" borderId="2" xfId="1" quotePrefix="1" applyNumberFormat="1" applyFont="1" applyFill="1" applyBorder="1" applyAlignment="1">
      <alignment horizontal="center" vertical="center" wrapText="1"/>
    </xf>
    <xf numFmtId="166" fontId="11" fillId="0" borderId="2" xfId="1" quotePrefix="1" applyNumberFormat="1" applyFont="1" applyFill="1" applyBorder="1" applyAlignment="1">
      <alignment horizontal="center" vertical="center" wrapText="1"/>
    </xf>
    <xf numFmtId="166" fontId="11" fillId="0" borderId="2" xfId="1" quotePrefix="1" applyNumberFormat="1" applyFont="1" applyFill="1" applyBorder="1" applyAlignment="1">
      <alignment horizontal="right" vertical="center" wrapText="1"/>
    </xf>
    <xf numFmtId="166" fontId="13" fillId="0" borderId="2" xfId="1" applyNumberFormat="1" applyFont="1" applyFill="1" applyBorder="1" applyAlignment="1">
      <alignment horizontal="center" vertical="center" wrapText="1"/>
    </xf>
    <xf numFmtId="166" fontId="13" fillId="0" borderId="2" xfId="1" applyNumberFormat="1" applyFont="1" applyFill="1" applyBorder="1" applyAlignment="1">
      <alignment horizontal="right" vertical="center" wrapText="1"/>
    </xf>
    <xf numFmtId="166" fontId="14" fillId="0" borderId="0" xfId="1" applyNumberFormat="1" applyFont="1" applyFill="1" applyAlignment="1">
      <alignment vertical="center"/>
    </xf>
    <xf numFmtId="166" fontId="4" fillId="0" borderId="2" xfId="1" applyNumberFormat="1" applyFont="1" applyFill="1" applyBorder="1" applyAlignment="1">
      <alignment horizontal="center" vertical="center" wrapText="1"/>
    </xf>
    <xf numFmtId="166" fontId="4" fillId="0" borderId="2" xfId="1" quotePrefix="1" applyNumberFormat="1" applyFont="1" applyFill="1" applyBorder="1" applyAlignment="1">
      <alignment horizontal="right" vertical="center" wrapText="1"/>
    </xf>
    <xf numFmtId="166" fontId="10" fillId="0" borderId="2" xfId="1" applyNumberFormat="1" applyFont="1" applyFill="1" applyBorder="1" applyAlignment="1">
      <alignment horizontal="center" vertical="center" wrapText="1"/>
    </xf>
    <xf numFmtId="166" fontId="10" fillId="0" borderId="2" xfId="1" quotePrefix="1" applyNumberFormat="1" applyFont="1" applyFill="1" applyBorder="1" applyAlignment="1">
      <alignment horizontal="right" vertical="center" wrapText="1"/>
    </xf>
    <xf numFmtId="166" fontId="16" fillId="0" borderId="2" xfId="1" applyNumberFormat="1" applyFont="1" applyFill="1" applyBorder="1" applyAlignment="1">
      <alignment horizontal="center" vertical="center" wrapText="1"/>
    </xf>
    <xf numFmtId="166" fontId="16" fillId="0" borderId="2" xfId="1" applyNumberFormat="1" applyFont="1" applyFill="1" applyBorder="1" applyAlignment="1">
      <alignment horizontal="right" vertical="center" wrapText="1"/>
    </xf>
    <xf numFmtId="166" fontId="15" fillId="0" borderId="2" xfId="1" applyNumberFormat="1" applyFont="1" applyFill="1" applyBorder="1" applyAlignment="1">
      <alignment horizontal="center" vertical="center" wrapText="1"/>
    </xf>
    <xf numFmtId="166" fontId="15" fillId="0" borderId="2" xfId="1" quotePrefix="1" applyNumberFormat="1" applyFont="1" applyFill="1" applyBorder="1" applyAlignment="1">
      <alignment horizontal="right" vertical="center" wrapText="1"/>
    </xf>
    <xf numFmtId="166" fontId="12" fillId="0" borderId="2" xfId="1" applyNumberFormat="1" applyFont="1" applyFill="1" applyBorder="1" applyAlignment="1">
      <alignment horizontal="center" vertical="center" wrapText="1"/>
    </xf>
    <xf numFmtId="166" fontId="12" fillId="0" borderId="2" xfId="1" quotePrefix="1" applyNumberFormat="1" applyFont="1" applyFill="1" applyBorder="1" applyAlignment="1">
      <alignment horizontal="right" vertical="center" wrapText="1"/>
    </xf>
    <xf numFmtId="166" fontId="14" fillId="0" borderId="2" xfId="1" applyNumberFormat="1" applyFont="1" applyFill="1" applyBorder="1" applyAlignment="1">
      <alignment horizontal="center" vertical="center" wrapText="1"/>
    </xf>
    <xf numFmtId="166" fontId="14" fillId="0" borderId="2" xfId="1" quotePrefix="1" applyNumberFormat="1" applyFont="1" applyFill="1" applyBorder="1" applyAlignment="1">
      <alignment horizontal="right" vertical="center" wrapText="1"/>
    </xf>
    <xf numFmtId="166" fontId="11" fillId="0" borderId="2" xfId="1" applyNumberFormat="1" applyFont="1" applyFill="1" applyBorder="1" applyAlignment="1">
      <alignment horizontal="right" vertical="center" wrapText="1"/>
    </xf>
    <xf numFmtId="166" fontId="4" fillId="0" borderId="2" xfId="3" applyNumberFormat="1" applyFont="1" applyFill="1" applyBorder="1" applyAlignment="1">
      <alignment horizontal="center" vertical="center" wrapText="1"/>
    </xf>
    <xf numFmtId="166" fontId="15" fillId="0" borderId="2" xfId="1" applyNumberFormat="1" applyFont="1" applyFill="1" applyBorder="1" applyAlignment="1">
      <alignment horizontal="right" vertical="center" wrapText="1"/>
    </xf>
    <xf numFmtId="166" fontId="16" fillId="0" borderId="2" xfId="1" applyNumberFormat="1" applyFont="1" applyFill="1" applyBorder="1" applyAlignment="1">
      <alignment horizontal="right" vertical="center" wrapText="1" shrinkToFit="1"/>
    </xf>
    <xf numFmtId="167" fontId="13" fillId="0" borderId="2" xfId="3" applyNumberFormat="1" applyFont="1" applyFill="1" applyBorder="1" applyAlignment="1">
      <alignment horizontal="center" vertical="center" wrapText="1"/>
    </xf>
    <xf numFmtId="166" fontId="14" fillId="0" borderId="2" xfId="1" applyNumberFormat="1" applyFont="1" applyFill="1" applyBorder="1" applyAlignment="1">
      <alignment horizontal="right" vertical="center" wrapText="1"/>
    </xf>
    <xf numFmtId="166" fontId="16" fillId="0" borderId="0" xfId="1" applyNumberFormat="1" applyFont="1" applyFill="1" applyAlignment="1">
      <alignment horizontal="right" vertical="center" wrapText="1"/>
    </xf>
    <xf numFmtId="166" fontId="16" fillId="0" borderId="0" xfId="1" applyNumberFormat="1" applyFont="1" applyFill="1" applyAlignment="1">
      <alignment vertical="center"/>
    </xf>
    <xf numFmtId="3" fontId="27" fillId="0" borderId="2" xfId="12" applyNumberFormat="1" applyFont="1" applyFill="1" applyBorder="1" applyAlignment="1">
      <alignment horizontal="right" vertical="center" shrinkToFit="1"/>
    </xf>
    <xf numFmtId="166" fontId="16" fillId="0" borderId="0" xfId="1" applyNumberFormat="1" applyFont="1" applyFill="1" applyAlignment="1">
      <alignment horizontal="center" vertical="center" wrapText="1"/>
    </xf>
    <xf numFmtId="166" fontId="16" fillId="0" borderId="2" xfId="3" quotePrefix="1" applyNumberFormat="1" applyFont="1" applyFill="1" applyBorder="1" applyAlignment="1">
      <alignment horizontal="center" vertical="center" wrapText="1"/>
    </xf>
    <xf numFmtId="166" fontId="16" fillId="0" borderId="2" xfId="3" quotePrefix="1" applyNumberFormat="1" applyFont="1" applyFill="1" applyBorder="1" applyAlignment="1">
      <alignment horizontal="right" vertical="center" wrapText="1"/>
    </xf>
    <xf numFmtId="166" fontId="13" fillId="0" borderId="2" xfId="3" quotePrefix="1" applyNumberFormat="1" applyFont="1" applyFill="1" applyBorder="1" applyAlignment="1">
      <alignment horizontal="right" vertical="center" wrapText="1"/>
    </xf>
    <xf numFmtId="167" fontId="4" fillId="0" borderId="2" xfId="16" applyNumberFormat="1" applyFont="1" applyFill="1" applyBorder="1" applyAlignment="1">
      <alignment horizontal="center" vertical="center" wrapText="1"/>
    </xf>
    <xf numFmtId="167" fontId="13" fillId="0" borderId="2" xfId="3" quotePrefix="1" applyNumberFormat="1" applyFont="1" applyFill="1" applyBorder="1" applyAlignment="1">
      <alignment horizontal="center" vertical="center" wrapText="1"/>
    </xf>
    <xf numFmtId="167" fontId="16" fillId="0" borderId="2" xfId="17" applyNumberFormat="1" applyFont="1" applyFill="1" applyBorder="1" applyAlignment="1">
      <alignment horizontal="center" vertical="center"/>
    </xf>
    <xf numFmtId="166" fontId="16" fillId="0" borderId="9" xfId="1" quotePrefix="1" applyNumberFormat="1" applyFont="1" applyFill="1" applyBorder="1" applyAlignment="1">
      <alignment horizontal="right" vertical="center" wrapText="1"/>
    </xf>
    <xf numFmtId="166" fontId="4" fillId="0" borderId="9" xfId="1" quotePrefix="1" applyNumberFormat="1" applyFont="1" applyFill="1" applyBorder="1" applyAlignment="1">
      <alignment horizontal="right" vertical="center" wrapText="1"/>
    </xf>
    <xf numFmtId="166" fontId="15" fillId="0" borderId="2" xfId="1" quotePrefix="1" applyNumberFormat="1" applyFont="1" applyFill="1" applyBorder="1" applyAlignment="1">
      <alignment horizontal="center" vertical="center" wrapText="1"/>
    </xf>
    <xf numFmtId="166" fontId="16" fillId="0" borderId="2" xfId="20" applyNumberFormat="1" applyFont="1" applyFill="1" applyBorder="1" applyAlignment="1">
      <alignment vertical="center" wrapText="1"/>
    </xf>
    <xf numFmtId="166" fontId="14" fillId="0" borderId="2" xfId="1" quotePrefix="1" applyNumberFormat="1" applyFont="1" applyFill="1" applyBorder="1" applyAlignment="1">
      <alignment horizontal="center" vertical="center" wrapText="1"/>
    </xf>
    <xf numFmtId="166" fontId="12" fillId="0" borderId="2" xfId="1" applyNumberFormat="1" applyFont="1" applyFill="1" applyBorder="1" applyAlignment="1">
      <alignment horizontal="right" vertical="center" wrapText="1"/>
    </xf>
    <xf numFmtId="3" fontId="4" fillId="0" borderId="2" xfId="23" applyNumberFormat="1" applyFont="1" applyFill="1" applyBorder="1" applyAlignment="1">
      <alignment horizontal="center" vertical="center" wrapText="1"/>
    </xf>
    <xf numFmtId="166" fontId="4" fillId="0" borderId="2" xfId="1" applyNumberFormat="1" applyFont="1" applyFill="1" applyBorder="1" applyAlignment="1">
      <alignment horizontal="right" vertical="center" wrapText="1"/>
    </xf>
    <xf numFmtId="166" fontId="16" fillId="0" borderId="12" xfId="1" quotePrefix="1" applyNumberFormat="1" applyFont="1" applyFill="1" applyBorder="1" applyAlignment="1">
      <alignment horizontal="right" vertical="center" wrapText="1"/>
    </xf>
    <xf numFmtId="167" fontId="4" fillId="0" borderId="2" xfId="17" applyNumberFormat="1" applyFont="1" applyFill="1" applyBorder="1" applyAlignment="1">
      <alignment horizontal="center" vertical="center"/>
    </xf>
    <xf numFmtId="166" fontId="13" fillId="0" borderId="0" xfId="1" applyNumberFormat="1" applyFont="1" applyFill="1" applyAlignment="1">
      <alignment vertical="center"/>
    </xf>
    <xf numFmtId="167" fontId="37" fillId="0" borderId="2" xfId="17" applyNumberFormat="1" applyFont="1" applyFill="1" applyBorder="1" applyAlignment="1">
      <alignment horizontal="center" vertical="center"/>
    </xf>
    <xf numFmtId="166" fontId="37" fillId="0" borderId="2" xfId="1" applyNumberFormat="1" applyFont="1" applyFill="1" applyBorder="1" applyAlignment="1">
      <alignment horizontal="right" vertical="center" wrapText="1"/>
    </xf>
    <xf numFmtId="166" fontId="19" fillId="0" borderId="2" xfId="1" quotePrefix="1" applyNumberFormat="1" applyFont="1" applyFill="1" applyBorder="1" applyAlignment="1">
      <alignment horizontal="right" vertical="center" wrapText="1"/>
    </xf>
    <xf numFmtId="166" fontId="37" fillId="0" borderId="2" xfId="1" quotePrefix="1" applyNumberFormat="1" applyFont="1" applyFill="1" applyBorder="1" applyAlignment="1">
      <alignment horizontal="right" vertical="center" wrapText="1"/>
    </xf>
    <xf numFmtId="166" fontId="19" fillId="0" borderId="2" xfId="1" applyNumberFormat="1" applyFont="1" applyFill="1" applyBorder="1" applyAlignment="1">
      <alignment horizontal="right" vertical="center" wrapText="1"/>
    </xf>
    <xf numFmtId="166" fontId="10" fillId="0" borderId="2" xfId="1" applyNumberFormat="1" applyFont="1" applyFill="1" applyBorder="1" applyAlignment="1">
      <alignment horizontal="right" vertical="center" wrapText="1"/>
    </xf>
    <xf numFmtId="167" fontId="16" fillId="0" borderId="0" xfId="3" applyNumberFormat="1" applyFont="1" applyFill="1" applyAlignment="1">
      <alignment horizontal="right" vertical="center"/>
    </xf>
    <xf numFmtId="1" fontId="4" fillId="0" borderId="0" xfId="2" applyNumberFormat="1" applyFont="1" applyFill="1" applyAlignment="1">
      <alignment vertical="center"/>
    </xf>
    <xf numFmtId="1" fontId="6" fillId="0" borderId="0" xfId="2" applyNumberFormat="1" applyFont="1" applyFill="1" applyAlignment="1">
      <alignment vertical="center"/>
    </xf>
    <xf numFmtId="1" fontId="7" fillId="0" borderId="0" xfId="2" applyNumberFormat="1" applyFont="1" applyFill="1" applyAlignment="1">
      <alignment vertical="center"/>
    </xf>
    <xf numFmtId="1" fontId="4" fillId="0" borderId="0" xfId="2" applyNumberFormat="1" applyFont="1" applyFill="1" applyAlignment="1">
      <alignment horizontal="center" vertical="center" wrapText="1"/>
    </xf>
    <xf numFmtId="1" fontId="4" fillId="0" borderId="0" xfId="2" applyNumberFormat="1" applyFont="1" applyFill="1" applyAlignment="1">
      <alignment vertical="center" wrapText="1"/>
    </xf>
    <xf numFmtId="1" fontId="10" fillId="0" borderId="1" xfId="2" applyNumberFormat="1" applyFont="1" applyFill="1" applyBorder="1" applyAlignment="1">
      <alignment vertical="center"/>
    </xf>
    <xf numFmtId="1" fontId="11" fillId="0" borderId="1" xfId="2" applyNumberFormat="1" applyFont="1" applyFill="1" applyBorder="1" applyAlignment="1">
      <alignment horizontal="center" vertical="center" wrapText="1"/>
    </xf>
    <xf numFmtId="1" fontId="11" fillId="0" borderId="0" xfId="2" applyNumberFormat="1" applyFont="1" applyFill="1" applyAlignment="1">
      <alignment vertical="center"/>
    </xf>
    <xf numFmtId="1" fontId="10" fillId="0" borderId="1" xfId="2" applyNumberFormat="1" applyFont="1" applyFill="1" applyBorder="1" applyAlignment="1">
      <alignment horizontal="right" vertical="center"/>
    </xf>
    <xf numFmtId="1" fontId="11" fillId="0" borderId="0" xfId="2" applyNumberFormat="1" applyFont="1" applyFill="1" applyAlignment="1">
      <alignment horizontal="right" vertical="center"/>
    </xf>
    <xf numFmtId="3" fontId="11" fillId="0" borderId="0" xfId="2" applyNumberFormat="1" applyFont="1" applyFill="1" applyAlignment="1">
      <alignment vertical="center" wrapText="1"/>
    </xf>
    <xf numFmtId="3" fontId="11" fillId="0" borderId="1" xfId="2" applyNumberFormat="1" applyFont="1" applyFill="1" applyBorder="1" applyAlignment="1">
      <alignment vertical="center" wrapText="1"/>
    </xf>
    <xf numFmtId="1" fontId="13" fillId="0" borderId="0" xfId="2" applyNumberFormat="1" applyFont="1" applyFill="1" applyAlignment="1">
      <alignment horizontal="center" vertical="center" wrapText="1"/>
    </xf>
    <xf numFmtId="3" fontId="13" fillId="0" borderId="0" xfId="2" applyNumberFormat="1" applyFont="1" applyFill="1" applyAlignment="1">
      <alignment horizontal="center" vertical="center" wrapText="1"/>
    </xf>
    <xf numFmtId="3" fontId="14" fillId="0" borderId="0" xfId="2" applyNumberFormat="1" applyFont="1" applyFill="1" applyAlignment="1">
      <alignment horizontal="center" vertical="center" wrapText="1"/>
    </xf>
    <xf numFmtId="3" fontId="16" fillId="0" borderId="2" xfId="2" quotePrefix="1" applyNumberFormat="1" applyFont="1" applyFill="1" applyBorder="1" applyAlignment="1">
      <alignment horizontal="center" vertical="center" wrapText="1"/>
    </xf>
    <xf numFmtId="3" fontId="4" fillId="0" borderId="2" xfId="2" quotePrefix="1" applyNumberFormat="1" applyFont="1" applyFill="1" applyBorder="1" applyAlignment="1">
      <alignment horizontal="center" vertical="center" wrapText="1"/>
    </xf>
    <xf numFmtId="3" fontId="4" fillId="0" borderId="0" xfId="2" applyNumberFormat="1" applyFont="1" applyFill="1" applyAlignment="1">
      <alignment horizontal="center" vertical="center" wrapText="1"/>
    </xf>
    <xf numFmtId="3" fontId="13" fillId="0" borderId="2" xfId="2" quotePrefix="1" applyNumberFormat="1" applyFont="1" applyFill="1" applyBorder="1" applyAlignment="1">
      <alignment horizontal="center" vertical="center" wrapText="1"/>
    </xf>
    <xf numFmtId="3" fontId="13" fillId="0" borderId="2" xfId="2" quotePrefix="1" applyNumberFormat="1" applyFont="1" applyFill="1" applyBorder="1" applyAlignment="1">
      <alignment horizontal="left" vertical="center" wrapText="1"/>
    </xf>
    <xf numFmtId="3" fontId="4" fillId="0" borderId="0" xfId="2" applyNumberFormat="1" applyFont="1" applyFill="1" applyAlignment="1">
      <alignment vertical="center" wrapText="1"/>
    </xf>
    <xf numFmtId="3" fontId="14" fillId="0" borderId="0" xfId="2" applyNumberFormat="1" applyFont="1" applyFill="1" applyAlignment="1">
      <alignment vertical="center" wrapText="1"/>
    </xf>
    <xf numFmtId="3" fontId="16" fillId="0" borderId="2" xfId="2" quotePrefix="1" applyNumberFormat="1" applyFont="1" applyFill="1" applyBorder="1" applyAlignment="1">
      <alignment horizontal="left" vertical="center" wrapText="1"/>
    </xf>
    <xf numFmtId="3" fontId="11" fillId="0" borderId="2" xfId="2" quotePrefix="1" applyNumberFormat="1" applyFont="1" applyFill="1" applyBorder="1" applyAlignment="1">
      <alignment horizontal="center" vertical="center" wrapText="1"/>
    </xf>
    <xf numFmtId="3" fontId="11" fillId="0" borderId="2" xfId="2" quotePrefix="1" applyNumberFormat="1" applyFont="1" applyFill="1" applyBorder="1" applyAlignment="1">
      <alignment horizontal="left" vertical="center" wrapText="1"/>
    </xf>
    <xf numFmtId="3" fontId="10" fillId="0" borderId="0" xfId="2" applyNumberFormat="1" applyFont="1" applyFill="1" applyAlignment="1">
      <alignment vertical="center" wrapText="1"/>
    </xf>
    <xf numFmtId="4" fontId="16" fillId="0" borderId="2" xfId="2" quotePrefix="1" applyNumberFormat="1" applyFont="1" applyFill="1" applyBorder="1" applyAlignment="1">
      <alignment horizontal="center" vertical="center" wrapText="1"/>
    </xf>
    <xf numFmtId="3" fontId="16" fillId="0" borderId="2" xfId="4" applyNumberFormat="1" applyFont="1" applyFill="1" applyBorder="1" applyAlignment="1">
      <alignment horizontal="left" vertical="center" wrapText="1"/>
    </xf>
    <xf numFmtId="49" fontId="13" fillId="0" borderId="2" xfId="2" applyNumberFormat="1" applyFont="1" applyFill="1" applyBorder="1" applyAlignment="1">
      <alignment horizontal="center" vertical="center"/>
    </xf>
    <xf numFmtId="1" fontId="13" fillId="0" borderId="2" xfId="2" applyNumberFormat="1" applyFont="1" applyFill="1" applyBorder="1" applyAlignment="1">
      <alignment horizontal="left" vertical="center" wrapText="1"/>
    </xf>
    <xf numFmtId="1" fontId="13" fillId="0" borderId="2" xfId="2" applyNumberFormat="1" applyFont="1" applyFill="1" applyBorder="1" applyAlignment="1">
      <alignment horizontal="center" vertical="center" wrapText="1"/>
    </xf>
    <xf numFmtId="3" fontId="13" fillId="0" borderId="2" xfId="2" quotePrefix="1" applyNumberFormat="1" applyFont="1" applyFill="1" applyBorder="1" applyAlignment="1">
      <alignment horizontal="right" vertical="center" wrapText="1"/>
    </xf>
    <xf numFmtId="1" fontId="14" fillId="0" borderId="0" xfId="2" applyNumberFormat="1" applyFont="1" applyFill="1" applyAlignment="1">
      <alignment vertical="center"/>
    </xf>
    <xf numFmtId="4" fontId="13" fillId="0" borderId="2" xfId="2" quotePrefix="1" applyNumberFormat="1" applyFont="1" applyFill="1" applyBorder="1" applyAlignment="1">
      <alignment horizontal="center" vertical="center" wrapText="1"/>
    </xf>
    <xf numFmtId="1" fontId="13" fillId="0" borderId="2" xfId="2" applyNumberFormat="1" applyFont="1" applyFill="1" applyBorder="1" applyAlignment="1">
      <alignment vertical="center" wrapText="1"/>
    </xf>
    <xf numFmtId="3" fontId="13" fillId="0" borderId="2" xfId="2" quotePrefix="1" applyNumberFormat="1" applyFont="1" applyFill="1" applyBorder="1" applyAlignment="1">
      <alignment vertical="center" wrapText="1"/>
    </xf>
    <xf numFmtId="1" fontId="15" fillId="0" borderId="2" xfId="2" applyNumberFormat="1" applyFont="1" applyFill="1" applyBorder="1" applyAlignment="1">
      <alignment vertical="center" wrapText="1"/>
    </xf>
    <xf numFmtId="49" fontId="13" fillId="0" borderId="2" xfId="2" quotePrefix="1" applyNumberFormat="1" applyFont="1" applyFill="1" applyBorder="1" applyAlignment="1">
      <alignment horizontal="center" vertical="center"/>
    </xf>
    <xf numFmtId="0" fontId="13" fillId="0" borderId="2" xfId="5" applyFont="1" applyFill="1" applyBorder="1" applyAlignment="1">
      <alignment vertical="center" wrapText="1"/>
    </xf>
    <xf numFmtId="4" fontId="13" fillId="0" borderId="2" xfId="2" applyNumberFormat="1" applyFont="1" applyFill="1" applyBorder="1" applyAlignment="1">
      <alignment horizontal="center" vertical="center" wrapText="1"/>
    </xf>
    <xf numFmtId="1" fontId="13" fillId="0" borderId="2" xfId="2" applyNumberFormat="1" applyFont="1" applyFill="1" applyBorder="1" applyAlignment="1">
      <alignment horizontal="center" vertical="center"/>
    </xf>
    <xf numFmtId="0" fontId="13" fillId="0" borderId="2" xfId="0" applyFont="1" applyFill="1" applyBorder="1" applyAlignment="1">
      <alignment vertical="center" wrapText="1"/>
    </xf>
    <xf numFmtId="1" fontId="16" fillId="0" borderId="2" xfId="2" applyNumberFormat="1" applyFont="1" applyFill="1" applyBorder="1" applyAlignment="1">
      <alignment horizontal="center" vertical="center" wrapText="1"/>
    </xf>
    <xf numFmtId="0" fontId="13" fillId="0" borderId="2" xfId="0" applyFont="1" applyFill="1" applyBorder="1" applyAlignment="1">
      <alignment vertical="center"/>
    </xf>
    <xf numFmtId="4" fontId="16" fillId="0" borderId="2" xfId="0" applyNumberFormat="1" applyFont="1" applyFill="1" applyBorder="1" applyAlignment="1">
      <alignment horizontal="center" vertical="center" wrapText="1"/>
    </xf>
    <xf numFmtId="167" fontId="16" fillId="0" borderId="2" xfId="6" quotePrefix="1" applyNumberFormat="1" applyFont="1" applyFill="1" applyBorder="1" applyAlignment="1">
      <alignment horizontal="center" vertical="center" wrapText="1"/>
    </xf>
    <xf numFmtId="167" fontId="13" fillId="0" borderId="2" xfId="6" quotePrefix="1" applyNumberFormat="1" applyFont="1" applyFill="1" applyBorder="1" applyAlignment="1">
      <alignment horizontal="center" vertical="center" wrapText="1"/>
    </xf>
    <xf numFmtId="3" fontId="4" fillId="0" borderId="2" xfId="2" quotePrefix="1" applyNumberFormat="1" applyFont="1" applyFill="1" applyBorder="1" applyAlignment="1">
      <alignment horizontal="left" vertical="center" wrapText="1"/>
    </xf>
    <xf numFmtId="1" fontId="4" fillId="0" borderId="2" xfId="2" applyNumberFormat="1" applyFont="1" applyFill="1" applyBorder="1" applyAlignment="1">
      <alignment horizontal="center" vertical="center" wrapText="1"/>
    </xf>
    <xf numFmtId="167" fontId="4" fillId="0" borderId="2" xfId="6" quotePrefix="1" applyNumberFormat="1" applyFont="1" applyFill="1" applyBorder="1" applyAlignment="1">
      <alignment horizontal="center" vertical="center" wrapText="1"/>
    </xf>
    <xf numFmtId="3" fontId="10" fillId="0" borderId="2" xfId="2" quotePrefix="1" applyNumberFormat="1" applyFont="1" applyFill="1" applyBorder="1" applyAlignment="1">
      <alignment horizontal="center" vertical="center" wrapText="1"/>
    </xf>
    <xf numFmtId="3" fontId="10" fillId="0" borderId="2" xfId="2" quotePrefix="1" applyNumberFormat="1" applyFont="1" applyFill="1" applyBorder="1" applyAlignment="1">
      <alignment horizontal="left" vertical="center" wrapText="1"/>
    </xf>
    <xf numFmtId="1" fontId="10" fillId="0" borderId="2" xfId="2" applyNumberFormat="1" applyFont="1" applyFill="1" applyBorder="1" applyAlignment="1">
      <alignment horizontal="center" vertical="center" wrapText="1"/>
    </xf>
    <xf numFmtId="167" fontId="10" fillId="0" borderId="2" xfId="6" quotePrefix="1" applyNumberFormat="1" applyFont="1" applyFill="1" applyBorder="1" applyAlignment="1">
      <alignment horizontal="center" vertical="center" wrapText="1"/>
    </xf>
    <xf numFmtId="1" fontId="10" fillId="0" borderId="0" xfId="2" applyNumberFormat="1" applyFont="1" applyFill="1" applyAlignment="1">
      <alignment vertical="center"/>
    </xf>
    <xf numFmtId="3" fontId="16" fillId="0" borderId="2" xfId="2" quotePrefix="1" applyNumberFormat="1" applyFont="1" applyFill="1" applyBorder="1" applyAlignment="1">
      <alignment horizontal="right" vertical="center" wrapText="1"/>
    </xf>
    <xf numFmtId="0" fontId="19" fillId="0" borderId="2" xfId="0" applyFont="1" applyFill="1" applyBorder="1" applyAlignment="1">
      <alignment vertical="center" wrapText="1"/>
    </xf>
    <xf numFmtId="167" fontId="13" fillId="0" borderId="2" xfId="6" quotePrefix="1" applyNumberFormat="1" applyFont="1" applyFill="1" applyBorder="1" applyAlignment="1">
      <alignment vertical="center" wrapText="1"/>
    </xf>
    <xf numFmtId="1" fontId="13" fillId="0" borderId="0" xfId="2" applyNumberFormat="1" applyFont="1" applyFill="1" applyAlignment="1">
      <alignment vertical="center"/>
    </xf>
    <xf numFmtId="3" fontId="16" fillId="0" borderId="2" xfId="4" applyNumberFormat="1" applyFont="1" applyFill="1" applyBorder="1" applyAlignment="1">
      <alignment horizontal="center" vertical="center" wrapText="1"/>
    </xf>
    <xf numFmtId="0" fontId="16" fillId="0" borderId="2" xfId="7" applyFont="1" applyFill="1" applyBorder="1" applyAlignment="1">
      <alignment horizontal="left" vertical="center" wrapText="1"/>
    </xf>
    <xf numFmtId="1" fontId="14" fillId="0" borderId="2" xfId="2" applyNumberFormat="1" applyFont="1" applyFill="1" applyBorder="1" applyAlignment="1">
      <alignment horizontal="center" vertical="center" wrapText="1"/>
    </xf>
    <xf numFmtId="3" fontId="15" fillId="0" borderId="2" xfId="2" quotePrefix="1" applyNumberFormat="1" applyFont="1" applyFill="1" applyBorder="1" applyAlignment="1">
      <alignment horizontal="center" vertical="center" wrapText="1"/>
    </xf>
    <xf numFmtId="3" fontId="15" fillId="0" borderId="2" xfId="2" quotePrefix="1" applyNumberFormat="1" applyFont="1" applyFill="1" applyBorder="1" applyAlignment="1">
      <alignment horizontal="left" vertical="center" wrapText="1"/>
    </xf>
    <xf numFmtId="1" fontId="15" fillId="0" borderId="2" xfId="2" applyNumberFormat="1" applyFont="1" applyFill="1" applyBorder="1" applyAlignment="1">
      <alignment horizontal="center" vertical="center" wrapText="1"/>
    </xf>
    <xf numFmtId="167" fontId="15" fillId="0" borderId="2" xfId="6" quotePrefix="1" applyNumberFormat="1" applyFont="1" applyFill="1" applyBorder="1" applyAlignment="1">
      <alignment horizontal="center" vertical="center" wrapText="1"/>
    </xf>
    <xf numFmtId="1" fontId="15" fillId="0" borderId="0" xfId="2" applyNumberFormat="1" applyFont="1" applyFill="1" applyAlignment="1">
      <alignment vertical="center"/>
    </xf>
    <xf numFmtId="1" fontId="12" fillId="0" borderId="2" xfId="2" applyNumberFormat="1" applyFont="1" applyFill="1" applyBorder="1" applyAlignment="1">
      <alignment horizontal="center" vertical="center" wrapText="1"/>
    </xf>
    <xf numFmtId="1" fontId="12" fillId="0" borderId="0" xfId="2" applyNumberFormat="1" applyFont="1" applyFill="1" applyAlignment="1">
      <alignment vertical="center"/>
    </xf>
    <xf numFmtId="0" fontId="13" fillId="0" borderId="2" xfId="8" applyFont="1" applyFill="1" applyBorder="1" applyAlignment="1">
      <alignment horizontal="center" vertical="center" wrapText="1"/>
    </xf>
    <xf numFmtId="0" fontId="13" fillId="0" borderId="2" xfId="8" applyFont="1" applyFill="1" applyBorder="1" applyAlignment="1">
      <alignment vertical="center" wrapText="1"/>
    </xf>
    <xf numFmtId="3" fontId="13" fillId="0" borderId="2" xfId="0" applyNumberFormat="1" applyFont="1" applyFill="1" applyBorder="1" applyAlignment="1">
      <alignment vertical="center"/>
    </xf>
    <xf numFmtId="49" fontId="14" fillId="0" borderId="2" xfId="2" quotePrefix="1" applyNumberFormat="1" applyFont="1" applyFill="1" applyBorder="1" applyAlignment="1">
      <alignment horizontal="center" vertical="center"/>
    </xf>
    <xf numFmtId="1" fontId="14" fillId="0" borderId="2" xfId="2" applyNumberFormat="1" applyFont="1" applyFill="1" applyBorder="1" applyAlignment="1">
      <alignment vertical="center" wrapText="1"/>
    </xf>
    <xf numFmtId="3" fontId="14" fillId="0" borderId="2" xfId="2" quotePrefix="1" applyNumberFormat="1" applyFont="1" applyFill="1" applyBorder="1" applyAlignment="1">
      <alignment vertical="center" wrapText="1"/>
    </xf>
    <xf numFmtId="0" fontId="13" fillId="0" borderId="2" xfId="8" quotePrefix="1" applyFont="1" applyFill="1" applyBorder="1" applyAlignment="1">
      <alignment horizontal="center" vertical="center" wrapText="1"/>
    </xf>
    <xf numFmtId="0" fontId="13" fillId="0" borderId="2" xfId="8" applyFont="1" applyFill="1" applyBorder="1" applyAlignment="1">
      <alignment horizontal="center" vertical="center"/>
    </xf>
    <xf numFmtId="167" fontId="13" fillId="0" borderId="2" xfId="6" applyNumberFormat="1" applyFont="1" applyFill="1" applyBorder="1" applyAlignment="1">
      <alignment horizontal="center" vertical="center" wrapText="1"/>
    </xf>
    <xf numFmtId="0" fontId="16" fillId="0" borderId="2" xfId="8" quotePrefix="1" applyFont="1" applyFill="1" applyBorder="1" applyAlignment="1">
      <alignment horizontal="center" vertical="center" wrapText="1"/>
    </xf>
    <xf numFmtId="0" fontId="16" fillId="0" borderId="2" xfId="8" applyFont="1" applyFill="1" applyBorder="1" applyAlignment="1">
      <alignment vertical="center" wrapText="1"/>
    </xf>
    <xf numFmtId="0" fontId="16" fillId="0" borderId="2" xfId="8" applyFont="1" applyFill="1" applyBorder="1" applyAlignment="1">
      <alignment horizontal="center" vertical="center"/>
    </xf>
    <xf numFmtId="1" fontId="16" fillId="0" borderId="2" xfId="2" quotePrefix="1" applyNumberFormat="1" applyFont="1" applyFill="1" applyBorder="1" applyAlignment="1">
      <alignment horizontal="center" vertical="center" wrapText="1"/>
    </xf>
    <xf numFmtId="3" fontId="16" fillId="0" borderId="2" xfId="4" quotePrefix="1" applyNumberFormat="1" applyFont="1" applyFill="1" applyBorder="1" applyAlignment="1">
      <alignment horizontal="center" vertical="center" wrapText="1"/>
    </xf>
    <xf numFmtId="167" fontId="21" fillId="0" borderId="2" xfId="6" applyNumberFormat="1" applyFont="1" applyFill="1" applyBorder="1" applyAlignment="1">
      <alignment horizontal="center" vertical="center" wrapText="1"/>
    </xf>
    <xf numFmtId="0" fontId="13" fillId="0" borderId="2" xfId="7" applyFont="1" applyFill="1" applyBorder="1" applyAlignment="1">
      <alignment vertical="center" wrapText="1"/>
    </xf>
    <xf numFmtId="49" fontId="15" fillId="0" borderId="2" xfId="2" applyNumberFormat="1" applyFont="1" applyFill="1" applyBorder="1" applyAlignment="1">
      <alignment horizontal="center" vertical="center"/>
    </xf>
    <xf numFmtId="49" fontId="16" fillId="0" borderId="2" xfId="2" quotePrefix="1" applyNumberFormat="1" applyFont="1" applyFill="1" applyBorder="1" applyAlignment="1">
      <alignment horizontal="center" vertical="center"/>
    </xf>
    <xf numFmtId="0" fontId="16" fillId="0" borderId="2" xfId="7" applyFont="1" applyFill="1" applyBorder="1" applyAlignment="1">
      <alignment vertical="center" wrapText="1"/>
    </xf>
    <xf numFmtId="167" fontId="16" fillId="0" borderId="2" xfId="6" applyNumberFormat="1" applyFont="1" applyFill="1" applyBorder="1" applyAlignment="1">
      <alignment horizontal="center" vertical="center" wrapText="1"/>
    </xf>
    <xf numFmtId="1" fontId="16" fillId="0" borderId="0" xfId="2" applyNumberFormat="1" applyFont="1" applyFill="1" applyAlignment="1">
      <alignment vertical="center"/>
    </xf>
    <xf numFmtId="3" fontId="16" fillId="0" borderId="2" xfId="2" applyNumberFormat="1" applyFont="1" applyFill="1" applyBorder="1" applyAlignment="1">
      <alignment horizontal="center" vertical="center" wrapText="1"/>
    </xf>
    <xf numFmtId="0" fontId="4" fillId="0" borderId="2" xfId="9" applyFont="1" applyFill="1" applyBorder="1" applyAlignment="1">
      <alignment vertical="center" wrapText="1"/>
    </xf>
    <xf numFmtId="1" fontId="11" fillId="0" borderId="2" xfId="2" applyNumberFormat="1" applyFont="1" applyFill="1" applyBorder="1" applyAlignment="1">
      <alignment horizontal="center" vertical="center" wrapText="1"/>
    </xf>
    <xf numFmtId="167" fontId="4" fillId="0" borderId="2" xfId="6" applyNumberFormat="1" applyFont="1" applyFill="1" applyBorder="1" applyAlignment="1">
      <alignment horizontal="center" vertical="center" wrapText="1"/>
    </xf>
    <xf numFmtId="3" fontId="23" fillId="0" borderId="2" xfId="2" quotePrefix="1" applyNumberFormat="1" applyFont="1" applyFill="1" applyBorder="1" applyAlignment="1">
      <alignment vertical="center" wrapText="1"/>
    </xf>
    <xf numFmtId="167" fontId="16" fillId="0" borderId="2" xfId="6" applyNumberFormat="1" applyFont="1" applyFill="1" applyBorder="1" applyAlignment="1">
      <alignment vertical="center" wrapText="1"/>
    </xf>
    <xf numFmtId="3" fontId="24" fillId="0" borderId="2" xfId="2" quotePrefix="1" applyNumberFormat="1" applyFont="1" applyFill="1" applyBorder="1" applyAlignment="1">
      <alignment horizontal="right" vertical="center" wrapText="1"/>
    </xf>
    <xf numFmtId="3" fontId="24" fillId="0" borderId="2" xfId="2" quotePrefix="1" applyNumberFormat="1" applyFont="1" applyFill="1" applyBorder="1" applyAlignment="1">
      <alignment vertical="center" wrapText="1"/>
    </xf>
    <xf numFmtId="0" fontId="16" fillId="0" borderId="2" xfId="8" applyFont="1" applyFill="1" applyBorder="1" applyAlignment="1">
      <alignment horizontal="center" vertical="center" wrapText="1"/>
    </xf>
    <xf numFmtId="166" fontId="16" fillId="0" borderId="13" xfId="1" applyNumberFormat="1" applyFont="1" applyFill="1" applyBorder="1" applyAlignment="1">
      <alignment horizontal="center" vertical="center" wrapText="1"/>
    </xf>
    <xf numFmtId="167" fontId="13" fillId="0" borderId="2" xfId="6" applyNumberFormat="1" applyFont="1" applyFill="1" applyBorder="1" applyAlignment="1">
      <alignment horizontal="left" vertical="center"/>
    </xf>
    <xf numFmtId="0" fontId="16" fillId="0" borderId="2" xfId="9" applyFont="1" applyFill="1" applyBorder="1" applyAlignment="1">
      <alignment vertical="center" wrapText="1"/>
    </xf>
    <xf numFmtId="167" fontId="15" fillId="0" borderId="2" xfId="6"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49" fontId="12" fillId="0" borderId="2" xfId="2" applyNumberFormat="1" applyFont="1" applyFill="1" applyBorder="1" applyAlignment="1">
      <alignment horizontal="center" vertical="center"/>
    </xf>
    <xf numFmtId="1" fontId="12" fillId="0" borderId="2" xfId="2" applyNumberFormat="1" applyFont="1" applyFill="1" applyBorder="1" applyAlignment="1">
      <alignment vertical="center" wrapText="1"/>
    </xf>
    <xf numFmtId="1" fontId="25" fillId="0" borderId="0" xfId="2" applyNumberFormat="1" applyFont="1" applyFill="1" applyAlignment="1">
      <alignment vertical="center"/>
    </xf>
    <xf numFmtId="1" fontId="16" fillId="0" borderId="2" xfId="4" applyNumberFormat="1" applyFont="1" applyFill="1" applyBorder="1" applyAlignment="1">
      <alignment horizontal="left" vertical="center" wrapText="1"/>
    </xf>
    <xf numFmtId="1" fontId="16" fillId="0" borderId="2" xfId="4" applyNumberFormat="1" applyFont="1" applyFill="1" applyBorder="1" applyAlignment="1">
      <alignment horizontal="center" vertical="center" wrapText="1"/>
    </xf>
    <xf numFmtId="1" fontId="26" fillId="0" borderId="0" xfId="2" applyNumberFormat="1" applyFont="1" applyFill="1" applyAlignment="1">
      <alignment vertical="center"/>
    </xf>
    <xf numFmtId="1" fontId="27" fillId="0" borderId="0" xfId="2" applyNumberFormat="1" applyFont="1" applyFill="1" applyAlignment="1">
      <alignment vertical="center"/>
    </xf>
    <xf numFmtId="166" fontId="16" fillId="0" borderId="2" xfId="0" applyNumberFormat="1" applyFont="1" applyFill="1" applyBorder="1" applyAlignment="1">
      <alignment horizontal="center" vertical="center" wrapText="1"/>
    </xf>
    <xf numFmtId="1" fontId="16" fillId="0" borderId="2" xfId="2" applyNumberFormat="1" applyFont="1" applyFill="1" applyBorder="1" applyAlignment="1">
      <alignment vertical="center" wrapText="1"/>
    </xf>
    <xf numFmtId="0" fontId="13" fillId="0" borderId="2" xfId="0" applyFont="1" applyFill="1" applyBorder="1" applyAlignment="1">
      <alignment horizontal="center" vertical="center" wrapText="1"/>
    </xf>
    <xf numFmtId="0" fontId="16" fillId="0" borderId="2" xfId="10" applyFont="1" applyFill="1" applyBorder="1" applyAlignment="1">
      <alignment vertical="center" wrapText="1"/>
    </xf>
    <xf numFmtId="0" fontId="16" fillId="0" borderId="2" xfId="7" applyFont="1" applyFill="1" applyBorder="1" applyAlignment="1">
      <alignment horizontal="center" vertical="center" wrapText="1"/>
    </xf>
    <xf numFmtId="3" fontId="23" fillId="0" borderId="2" xfId="4" quotePrefix="1" applyNumberFormat="1" applyFont="1" applyFill="1" applyBorder="1" applyAlignment="1">
      <alignment vertical="center" wrapText="1"/>
    </xf>
    <xf numFmtId="3" fontId="16" fillId="0" borderId="2" xfId="0" applyNumberFormat="1" applyFont="1" applyFill="1" applyBorder="1" applyAlignment="1">
      <alignment horizontal="center" vertical="center" wrapText="1"/>
    </xf>
    <xf numFmtId="1" fontId="4" fillId="0" borderId="2" xfId="2" applyNumberFormat="1" applyFont="1" applyFill="1" applyBorder="1" applyAlignment="1">
      <alignment vertical="center"/>
    </xf>
    <xf numFmtId="0" fontId="26" fillId="0" borderId="2" xfId="9" applyFont="1" applyFill="1" applyBorder="1" applyAlignment="1">
      <alignment vertical="center" wrapText="1"/>
    </xf>
    <xf numFmtId="167" fontId="26" fillId="0" borderId="2" xfId="6" applyNumberFormat="1" applyFont="1" applyFill="1" applyBorder="1" applyAlignment="1">
      <alignment horizontal="center" vertical="center" wrapText="1"/>
    </xf>
    <xf numFmtId="3" fontId="28" fillId="0" borderId="2" xfId="2" quotePrefix="1" applyNumberFormat="1" applyFont="1" applyFill="1" applyBorder="1" applyAlignment="1">
      <alignment vertical="center" wrapText="1"/>
    </xf>
    <xf numFmtId="49" fontId="14" fillId="0" borderId="2" xfId="2" applyNumberFormat="1" applyFont="1" applyFill="1" applyBorder="1" applyAlignment="1">
      <alignment horizontal="center" vertical="center"/>
    </xf>
    <xf numFmtId="1" fontId="14" fillId="0" borderId="2" xfId="2" quotePrefix="1" applyNumberFormat="1" applyFont="1" applyFill="1" applyBorder="1" applyAlignment="1">
      <alignment horizontal="center" vertical="center" wrapText="1"/>
    </xf>
    <xf numFmtId="1" fontId="15" fillId="0" borderId="2" xfId="2" quotePrefix="1" applyNumberFormat="1" applyFont="1" applyFill="1" applyBorder="1" applyAlignment="1">
      <alignment horizontal="center" vertical="center" wrapText="1"/>
    </xf>
    <xf numFmtId="49" fontId="16" fillId="0" borderId="2" xfId="7" applyNumberFormat="1" applyFont="1" applyFill="1" applyBorder="1" applyAlignment="1">
      <alignment vertical="center" wrapText="1"/>
    </xf>
    <xf numFmtId="49" fontId="4" fillId="0" borderId="2" xfId="2" applyNumberFormat="1" applyFont="1" applyFill="1" applyBorder="1" applyAlignment="1">
      <alignment horizontal="center" vertical="center"/>
    </xf>
    <xf numFmtId="49" fontId="4" fillId="0" borderId="2" xfId="7" applyNumberFormat="1" applyFont="1" applyFill="1" applyBorder="1" applyAlignment="1">
      <alignment vertical="center" wrapText="1"/>
    </xf>
    <xf numFmtId="0" fontId="14" fillId="0" borderId="2" xfId="7" applyFont="1" applyFill="1" applyBorder="1" applyAlignment="1">
      <alignment horizontal="center" vertical="center" wrapText="1"/>
    </xf>
    <xf numFmtId="49" fontId="16" fillId="0" borderId="2" xfId="2" applyNumberFormat="1" applyFont="1" applyFill="1" applyBorder="1" applyAlignment="1">
      <alignment horizontal="center" vertical="center"/>
    </xf>
    <xf numFmtId="0" fontId="16" fillId="0" borderId="2" xfId="0" applyFont="1" applyFill="1" applyBorder="1" applyAlignment="1">
      <alignment horizontal="left" vertical="center" wrapText="1"/>
    </xf>
    <xf numFmtId="0" fontId="16" fillId="0" borderId="2" xfId="11" applyFont="1" applyFill="1" applyBorder="1" applyAlignment="1">
      <alignment vertical="center" wrapText="1"/>
    </xf>
    <xf numFmtId="3" fontId="27" fillId="0" borderId="2" xfId="4" quotePrefix="1" applyNumberFormat="1" applyFont="1" applyFill="1" applyBorder="1" applyAlignment="1">
      <alignment vertical="center" wrapText="1"/>
    </xf>
    <xf numFmtId="169" fontId="16" fillId="0" borderId="2" xfId="2" applyNumberFormat="1" applyFont="1" applyFill="1" applyBorder="1" applyAlignment="1">
      <alignment horizontal="center" vertical="center" wrapText="1"/>
    </xf>
    <xf numFmtId="3" fontId="30" fillId="0" borderId="2" xfId="2" quotePrefix="1" applyNumberFormat="1" applyFont="1" applyFill="1" applyBorder="1" applyAlignment="1">
      <alignment vertical="center" wrapText="1"/>
    </xf>
    <xf numFmtId="1" fontId="4" fillId="0" borderId="2" xfId="2" applyNumberFormat="1" applyFont="1" applyFill="1" applyBorder="1" applyAlignment="1">
      <alignment vertical="center" wrapText="1"/>
    </xf>
    <xf numFmtId="3" fontId="13" fillId="0" borderId="2" xfId="0" applyNumberFormat="1" applyFont="1" applyFill="1" applyBorder="1" applyAlignment="1">
      <alignment horizontal="center" vertical="center" wrapText="1"/>
    </xf>
    <xf numFmtId="3" fontId="16" fillId="0" borderId="2" xfId="7" applyNumberFormat="1" applyFont="1" applyFill="1" applyBorder="1" applyAlignment="1">
      <alignment horizontal="left" vertical="center" wrapText="1"/>
    </xf>
    <xf numFmtId="0" fontId="4" fillId="0" borderId="2" xfId="7" applyFont="1" applyFill="1" applyBorder="1" applyAlignment="1">
      <alignment vertical="center" wrapText="1"/>
    </xf>
    <xf numFmtId="3" fontId="4" fillId="0" borderId="2" xfId="4" quotePrefix="1" applyNumberFormat="1" applyFont="1" applyFill="1" applyBorder="1" applyAlignment="1">
      <alignment horizontal="center" vertical="center" wrapText="1"/>
    </xf>
    <xf numFmtId="1" fontId="13" fillId="0" borderId="2" xfId="2" applyNumberFormat="1" applyFont="1" applyFill="1" applyBorder="1" applyAlignment="1">
      <alignment vertical="center"/>
    </xf>
    <xf numFmtId="0" fontId="16" fillId="0" borderId="2" xfId="13" quotePrefix="1" applyFont="1" applyFill="1" applyBorder="1" applyAlignment="1">
      <alignment horizontal="center" vertical="center" wrapText="1"/>
    </xf>
    <xf numFmtId="0" fontId="16" fillId="0" borderId="2" xfId="13" applyFont="1" applyFill="1" applyBorder="1" applyAlignment="1">
      <alignment horizontal="left" vertical="center" wrapText="1"/>
    </xf>
    <xf numFmtId="3" fontId="16" fillId="0" borderId="2" xfId="2" applyNumberFormat="1" applyFont="1" applyFill="1" applyBorder="1" applyAlignment="1">
      <alignment horizontal="left" vertical="center" wrapText="1"/>
    </xf>
    <xf numFmtId="0" fontId="16" fillId="0" borderId="2" xfId="14" applyFont="1" applyFill="1" applyBorder="1" applyAlignment="1">
      <alignment vertical="center" wrapText="1"/>
    </xf>
    <xf numFmtId="2" fontId="16" fillId="0" borderId="2" xfId="15" applyNumberFormat="1" applyFont="1" applyFill="1" applyBorder="1" applyAlignment="1">
      <alignment vertical="center" wrapText="1"/>
    </xf>
    <xf numFmtId="49" fontId="4" fillId="0" borderId="2" xfId="2" quotePrefix="1" applyNumberFormat="1" applyFont="1" applyFill="1" applyBorder="1" applyAlignment="1">
      <alignment horizontal="center" vertical="center"/>
    </xf>
    <xf numFmtId="167" fontId="4" fillId="0" borderId="2" xfId="7" applyNumberFormat="1" applyFont="1" applyFill="1" applyBorder="1" applyAlignment="1">
      <alignment horizontal="left" vertical="center" wrapText="1"/>
    </xf>
    <xf numFmtId="0" fontId="14" fillId="0" borderId="2" xfId="9" applyFont="1" applyFill="1" applyBorder="1" applyAlignment="1">
      <alignment vertical="center" wrapText="1"/>
    </xf>
    <xf numFmtId="1" fontId="22" fillId="0" borderId="2" xfId="4" applyNumberFormat="1" applyFont="1" applyFill="1" applyBorder="1" applyAlignment="1">
      <alignment horizontal="center" vertical="center" wrapText="1"/>
    </xf>
    <xf numFmtId="0" fontId="16" fillId="0" borderId="2" xfId="0" applyFont="1" applyFill="1" applyBorder="1" applyAlignment="1">
      <alignment vertical="center" wrapText="1"/>
    </xf>
    <xf numFmtId="167" fontId="16" fillId="0" borderId="2" xfId="7" applyNumberFormat="1" applyFont="1" applyFill="1" applyBorder="1" applyAlignment="1">
      <alignment horizontal="center" vertical="center" wrapText="1"/>
    </xf>
    <xf numFmtId="1" fontId="16" fillId="0" borderId="2" xfId="0" applyNumberFormat="1" applyFont="1" applyFill="1" applyBorder="1" applyAlignment="1">
      <alignment horizontal="center" vertical="center" wrapText="1"/>
    </xf>
    <xf numFmtId="3" fontId="24" fillId="0" borderId="2" xfId="4" quotePrefix="1" applyNumberFormat="1" applyFont="1" applyFill="1" applyBorder="1" applyAlignment="1">
      <alignment horizontal="right" vertical="center" wrapText="1"/>
    </xf>
    <xf numFmtId="3" fontId="23" fillId="0" borderId="2" xfId="2" quotePrefix="1" applyNumberFormat="1" applyFont="1" applyFill="1" applyBorder="1" applyAlignment="1">
      <alignment horizontal="right" vertical="center" wrapText="1"/>
    </xf>
    <xf numFmtId="0" fontId="16" fillId="0" borderId="2" xfId="9" applyFont="1" applyFill="1" applyBorder="1" applyAlignment="1">
      <alignment horizontal="center" vertical="center" wrapText="1"/>
    </xf>
    <xf numFmtId="3" fontId="16" fillId="0" borderId="2" xfId="18" applyNumberFormat="1" applyFont="1" applyFill="1" applyBorder="1" applyAlignment="1">
      <alignment horizontal="right" vertical="center" wrapText="1"/>
    </xf>
    <xf numFmtId="1" fontId="13" fillId="0" borderId="2" xfId="2" quotePrefix="1" applyNumberFormat="1"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167" fontId="14" fillId="0" borderId="2" xfId="6"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0" fontId="15" fillId="0" borderId="2" xfId="8" quotePrefix="1" applyFont="1" applyFill="1" applyBorder="1" applyAlignment="1">
      <alignment horizontal="center" vertical="center" wrapText="1"/>
    </xf>
    <xf numFmtId="0" fontId="15" fillId="0" borderId="2" xfId="7" applyFont="1" applyFill="1" applyBorder="1" applyAlignment="1">
      <alignment vertical="center" wrapText="1"/>
    </xf>
    <xf numFmtId="3" fontId="33" fillId="0" borderId="2" xfId="2" quotePrefix="1" applyNumberFormat="1" applyFont="1" applyFill="1" applyBorder="1" applyAlignment="1">
      <alignment vertical="center" wrapText="1"/>
    </xf>
    <xf numFmtId="0" fontId="4" fillId="0" borderId="2" xfId="7" applyFont="1" applyFill="1" applyBorder="1" applyAlignment="1">
      <alignment horizontal="left" vertical="center" wrapText="1"/>
    </xf>
    <xf numFmtId="0" fontId="4" fillId="0" borderId="2" xfId="19" applyFont="1" applyFill="1" applyBorder="1" applyAlignment="1">
      <alignment horizontal="left" vertical="center" wrapText="1"/>
    </xf>
    <xf numFmtId="0" fontId="13" fillId="0" borderId="9" xfId="7" applyFont="1" applyFill="1" applyBorder="1" applyAlignment="1">
      <alignment horizontal="center" vertical="center" wrapText="1"/>
    </xf>
    <xf numFmtId="0" fontId="16" fillId="0" borderId="9" xfId="7" applyFont="1" applyFill="1" applyBorder="1" applyAlignment="1">
      <alignment horizontal="center" vertical="center" wrapText="1"/>
    </xf>
    <xf numFmtId="1" fontId="13" fillId="0" borderId="2" xfId="2" quotePrefix="1" applyNumberFormat="1" applyFont="1" applyFill="1" applyBorder="1" applyAlignment="1">
      <alignment vertical="center" wrapText="1"/>
    </xf>
    <xf numFmtId="0" fontId="16" fillId="0" borderId="2" xfId="5" applyFont="1" applyFill="1" applyBorder="1" applyAlignment="1">
      <alignment vertical="center" wrapText="1"/>
    </xf>
    <xf numFmtId="0" fontId="13" fillId="0" borderId="2" xfId="11" applyFont="1" applyFill="1" applyBorder="1" applyAlignment="1">
      <alignment vertical="center" wrapText="1"/>
    </xf>
    <xf numFmtId="3" fontId="16" fillId="0" borderId="2" xfId="2" applyNumberFormat="1" applyFont="1" applyFill="1" applyBorder="1" applyAlignment="1">
      <alignment horizontal="right" vertical="center"/>
    </xf>
    <xf numFmtId="3" fontId="4" fillId="0" borderId="2" xfId="2" applyNumberFormat="1" applyFont="1" applyFill="1" applyBorder="1" applyAlignment="1">
      <alignment horizontal="right" vertical="center"/>
    </xf>
    <xf numFmtId="0" fontId="16" fillId="0" borderId="2" xfId="21" applyFont="1" applyFill="1" applyBorder="1" applyAlignment="1">
      <alignment horizontal="center" vertical="center" wrapText="1"/>
    </xf>
    <xf numFmtId="0" fontId="4" fillId="0" borderId="2" xfId="21" applyFont="1" applyFill="1" applyBorder="1" applyAlignment="1">
      <alignment vertical="center" wrapText="1"/>
    </xf>
    <xf numFmtId="0" fontId="4" fillId="0" borderId="2" xfId="21" applyFont="1" applyFill="1" applyBorder="1" applyAlignment="1">
      <alignment horizontal="center" vertical="center" wrapText="1"/>
    </xf>
    <xf numFmtId="0" fontId="16" fillId="0" borderId="2" xfId="21" applyFont="1" applyFill="1" applyBorder="1" applyAlignment="1">
      <alignment vertical="center" wrapText="1"/>
    </xf>
    <xf numFmtId="1" fontId="13" fillId="0" borderId="0" xfId="2" applyNumberFormat="1" applyFont="1" applyFill="1" applyAlignment="1">
      <alignment horizontal="right" vertical="center" wrapText="1"/>
    </xf>
    <xf numFmtId="167" fontId="16" fillId="0" borderId="2" xfId="6" applyNumberFormat="1" applyFont="1" applyFill="1" applyBorder="1" applyAlignment="1">
      <alignment horizontal="left" vertical="center"/>
    </xf>
    <xf numFmtId="167" fontId="4" fillId="0" borderId="2" xfId="6" applyNumberFormat="1" applyFont="1" applyFill="1" applyBorder="1" applyAlignment="1">
      <alignment vertical="center" wrapText="1"/>
    </xf>
    <xf numFmtId="0" fontId="22" fillId="0" borderId="2" xfId="7" applyFont="1" applyFill="1" applyBorder="1" applyAlignment="1">
      <alignment horizontal="center" vertical="center" wrapText="1"/>
    </xf>
    <xf numFmtId="0" fontId="4" fillId="0" borderId="2" xfId="5" applyFont="1" applyFill="1" applyBorder="1" applyAlignment="1">
      <alignment vertical="center" wrapText="1"/>
    </xf>
    <xf numFmtId="167" fontId="14" fillId="0" borderId="2" xfId="6" quotePrefix="1" applyNumberFormat="1" applyFont="1" applyFill="1" applyBorder="1" applyAlignment="1">
      <alignment horizontal="center" vertical="center" wrapText="1"/>
    </xf>
    <xf numFmtId="167" fontId="12" fillId="0" borderId="2" xfId="6" applyNumberFormat="1" applyFont="1" applyFill="1" applyBorder="1" applyAlignment="1">
      <alignment horizontal="left" vertical="center"/>
    </xf>
    <xf numFmtId="167" fontId="12" fillId="0" borderId="2" xfId="6" applyNumberFormat="1" applyFont="1" applyFill="1" applyBorder="1" applyAlignment="1">
      <alignment horizontal="center" vertical="center" wrapText="1"/>
    </xf>
    <xf numFmtId="0" fontId="14" fillId="0" borderId="2" xfId="8" quotePrefix="1" applyFont="1" applyFill="1" applyBorder="1" applyAlignment="1">
      <alignment horizontal="center" vertical="center" wrapText="1"/>
    </xf>
    <xf numFmtId="0" fontId="14" fillId="0" borderId="2" xfId="8" applyFont="1" applyFill="1" applyBorder="1" applyAlignment="1">
      <alignment horizontal="center" vertical="center"/>
    </xf>
    <xf numFmtId="167" fontId="14" fillId="0" borderId="2" xfId="6" applyNumberFormat="1" applyFont="1" applyFill="1" applyBorder="1" applyAlignment="1">
      <alignment horizontal="center" vertical="center"/>
    </xf>
    <xf numFmtId="0" fontId="12" fillId="0" borderId="2" xfId="8" applyFont="1" applyFill="1" applyBorder="1" applyAlignment="1">
      <alignment horizontal="center" vertical="center"/>
    </xf>
    <xf numFmtId="167" fontId="12" fillId="0" borderId="2" xfId="6" applyNumberFormat="1" applyFont="1" applyFill="1" applyBorder="1" applyAlignment="1">
      <alignment horizontal="center" vertical="center"/>
    </xf>
    <xf numFmtId="49" fontId="4" fillId="0" borderId="2" xfId="0" applyNumberFormat="1" applyFont="1" applyFill="1" applyBorder="1" applyAlignment="1">
      <alignment horizontal="left" vertical="center" wrapText="1"/>
    </xf>
    <xf numFmtId="166" fontId="16" fillId="0" borderId="2" xfId="3" applyNumberFormat="1" applyFont="1" applyFill="1" applyBorder="1" applyAlignment="1">
      <alignment horizontal="center" vertical="center" wrapText="1"/>
    </xf>
    <xf numFmtId="1" fontId="26" fillId="0" borderId="2" xfId="2" applyNumberFormat="1" applyFont="1" applyFill="1" applyBorder="1" applyAlignment="1">
      <alignment horizontal="center" vertical="center" wrapText="1"/>
    </xf>
    <xf numFmtId="0" fontId="12" fillId="0" borderId="2" xfId="9" applyFont="1" applyFill="1" applyBorder="1" applyAlignment="1">
      <alignment vertical="center" wrapText="1"/>
    </xf>
    <xf numFmtId="0" fontId="15" fillId="0" borderId="2" xfId="8" applyFont="1" applyFill="1" applyBorder="1" applyAlignment="1">
      <alignment horizontal="center" vertical="center"/>
    </xf>
    <xf numFmtId="0" fontId="12" fillId="0" borderId="2" xfId="7" applyFont="1" applyFill="1" applyBorder="1" applyAlignment="1">
      <alignment horizontal="center" vertical="center" wrapText="1"/>
    </xf>
    <xf numFmtId="3" fontId="33" fillId="0" borderId="2" xfId="4" quotePrefix="1" applyNumberFormat="1" applyFont="1" applyFill="1" applyBorder="1" applyAlignment="1">
      <alignment vertical="center" wrapText="1"/>
    </xf>
    <xf numFmtId="3" fontId="13" fillId="0" borderId="2" xfId="2" applyNumberFormat="1" applyFont="1" applyFill="1" applyBorder="1" applyAlignment="1">
      <alignment horizontal="center" vertical="center" wrapText="1"/>
    </xf>
    <xf numFmtId="3" fontId="13" fillId="0" borderId="2" xfId="4" applyNumberFormat="1" applyFont="1" applyFill="1" applyBorder="1" applyAlignment="1">
      <alignment horizontal="center" vertical="center" wrapText="1"/>
    </xf>
    <xf numFmtId="167" fontId="13" fillId="0" borderId="2" xfId="6" applyNumberFormat="1" applyFont="1" applyFill="1" applyBorder="1" applyAlignment="1">
      <alignment vertical="center" wrapText="1"/>
    </xf>
    <xf numFmtId="3" fontId="15" fillId="0" borderId="2" xfId="7" applyNumberFormat="1" applyFont="1" applyFill="1" applyBorder="1" applyAlignment="1">
      <alignment horizontal="center" vertical="center" wrapText="1"/>
    </xf>
    <xf numFmtId="1" fontId="36" fillId="0" borderId="2" xfId="4" applyNumberFormat="1" applyFont="1" applyFill="1" applyBorder="1" applyAlignment="1">
      <alignment vertical="center" wrapText="1"/>
    </xf>
    <xf numFmtId="3" fontId="15" fillId="0" borderId="12" xfId="4" applyNumberFormat="1" applyFont="1" applyFill="1" applyBorder="1" applyAlignment="1">
      <alignment horizontal="center" vertical="center" wrapText="1"/>
    </xf>
    <xf numFmtId="3" fontId="16" fillId="0" borderId="2" xfId="7" applyNumberFormat="1" applyFont="1" applyFill="1" applyBorder="1" applyAlignment="1">
      <alignment horizontal="center" vertical="center" wrapText="1"/>
    </xf>
    <xf numFmtId="1" fontId="27" fillId="0" borderId="2" xfId="4" applyNumberFormat="1" applyFont="1" applyFill="1" applyBorder="1" applyAlignment="1">
      <alignment vertical="center" wrapText="1"/>
    </xf>
    <xf numFmtId="3" fontId="16" fillId="0" borderId="2" xfId="24" applyNumberFormat="1" applyFont="1" applyFill="1" applyBorder="1" applyAlignment="1">
      <alignment horizontal="center" vertical="center" wrapText="1"/>
    </xf>
    <xf numFmtId="3" fontId="13" fillId="0" borderId="12" xfId="4" applyNumberFormat="1" applyFont="1" applyFill="1" applyBorder="1" applyAlignment="1">
      <alignment horizontal="center" vertical="center" wrapText="1"/>
    </xf>
    <xf numFmtId="3" fontId="4" fillId="0" borderId="2" xfId="4" applyNumberFormat="1" applyFont="1" applyFill="1" applyBorder="1" applyAlignment="1">
      <alignment horizontal="center" vertical="center" wrapText="1"/>
    </xf>
    <xf numFmtId="3" fontId="4" fillId="0" borderId="2" xfId="18" applyNumberFormat="1" applyFont="1" applyFill="1" applyBorder="1" applyAlignment="1">
      <alignment horizontal="right" vertical="center" wrapText="1"/>
    </xf>
    <xf numFmtId="1" fontId="4" fillId="0" borderId="2" xfId="4" applyNumberFormat="1" applyFont="1" applyFill="1" applyBorder="1" applyAlignment="1">
      <alignment horizontal="left" vertical="center" wrapText="1"/>
    </xf>
    <xf numFmtId="0" fontId="4" fillId="0" borderId="2" xfId="9" applyFont="1" applyFill="1" applyBorder="1" applyAlignment="1">
      <alignment horizontal="center" vertical="center" wrapText="1"/>
    </xf>
    <xf numFmtId="3" fontId="23" fillId="0" borderId="2" xfId="0" applyNumberFormat="1" applyFont="1" applyFill="1" applyBorder="1" applyAlignment="1">
      <alignment horizontal="right" vertical="center"/>
    </xf>
    <xf numFmtId="166" fontId="4" fillId="0" borderId="2" xfId="0" applyNumberFormat="1" applyFont="1" applyFill="1" applyBorder="1" applyAlignment="1">
      <alignment horizontal="center" vertical="center" wrapText="1"/>
    </xf>
    <xf numFmtId="1" fontId="4" fillId="0" borderId="2" xfId="4" applyNumberFormat="1" applyFont="1" applyFill="1" applyBorder="1" applyAlignment="1">
      <alignment horizontal="center" vertical="center" wrapText="1"/>
    </xf>
    <xf numFmtId="3" fontId="30" fillId="0" borderId="2" xfId="4" quotePrefix="1" applyNumberFormat="1" applyFont="1" applyFill="1" applyBorder="1" applyAlignment="1">
      <alignment vertical="center" wrapText="1"/>
    </xf>
    <xf numFmtId="3" fontId="23" fillId="0" borderId="2" xfId="4" quotePrefix="1" applyNumberFormat="1" applyFont="1" applyFill="1" applyBorder="1" applyAlignment="1">
      <alignment horizontal="right" vertical="center" wrapText="1"/>
    </xf>
    <xf numFmtId="0" fontId="13" fillId="0" borderId="2" xfId="9" applyFont="1" applyFill="1" applyBorder="1" applyAlignment="1">
      <alignment vertical="center" wrapText="1"/>
    </xf>
    <xf numFmtId="0" fontId="13" fillId="0" borderId="2" xfId="9" applyFont="1" applyFill="1" applyBorder="1" applyAlignment="1">
      <alignment horizontal="center" vertical="center" wrapText="1"/>
    </xf>
    <xf numFmtId="166" fontId="13" fillId="0" borderId="2" xfId="3" quotePrefix="1" applyNumberFormat="1" applyFont="1" applyFill="1" applyBorder="1" applyAlignment="1">
      <alignment horizontal="center" vertical="center" wrapText="1"/>
    </xf>
    <xf numFmtId="166" fontId="13" fillId="0" borderId="2" xfId="0" applyNumberFormat="1" applyFont="1" applyFill="1" applyBorder="1" applyAlignment="1">
      <alignment horizontal="center" vertical="center" wrapText="1"/>
    </xf>
    <xf numFmtId="3" fontId="14" fillId="0" borderId="2" xfId="4" applyNumberFormat="1" applyFont="1" applyFill="1" applyBorder="1" applyAlignment="1">
      <alignment horizontal="center" vertical="center" wrapText="1"/>
    </xf>
    <xf numFmtId="3" fontId="37" fillId="0" borderId="2" xfId="4" quotePrefix="1" applyNumberFormat="1" applyFont="1" applyFill="1" applyBorder="1" applyAlignment="1">
      <alignment horizontal="center" vertical="center" wrapText="1"/>
    </xf>
    <xf numFmtId="1" fontId="37" fillId="0" borderId="2" xfId="4" applyNumberFormat="1" applyFont="1" applyFill="1" applyBorder="1" applyAlignment="1">
      <alignment horizontal="left" vertical="center" wrapText="1"/>
    </xf>
    <xf numFmtId="0" fontId="37" fillId="0" borderId="2" xfId="9" applyFont="1" applyFill="1" applyBorder="1" applyAlignment="1">
      <alignment vertical="center" wrapText="1"/>
    </xf>
    <xf numFmtId="3" fontId="37" fillId="0" borderId="2" xfId="4" applyNumberFormat="1" applyFont="1" applyFill="1" applyBorder="1" applyAlignment="1">
      <alignment horizontal="center" vertical="center" wrapText="1"/>
    </xf>
    <xf numFmtId="167" fontId="37" fillId="0" borderId="2" xfId="7" applyNumberFormat="1" applyFont="1" applyFill="1" applyBorder="1" applyAlignment="1">
      <alignment horizontal="center" vertical="center" wrapText="1"/>
    </xf>
    <xf numFmtId="3" fontId="37" fillId="0" borderId="2" xfId="18" applyNumberFormat="1" applyFont="1" applyFill="1" applyBorder="1" applyAlignment="1">
      <alignment horizontal="right" vertical="center" wrapText="1"/>
    </xf>
    <xf numFmtId="0" fontId="37" fillId="0" borderId="2" xfId="0" applyFont="1" applyFill="1" applyBorder="1" applyAlignment="1">
      <alignment horizontal="center" vertical="center" wrapText="1"/>
    </xf>
    <xf numFmtId="1" fontId="37" fillId="0" borderId="0" xfId="2" applyNumberFormat="1" applyFont="1" applyFill="1" applyAlignment="1">
      <alignment vertical="center"/>
    </xf>
    <xf numFmtId="1" fontId="19" fillId="0" borderId="2" xfId="2" applyNumberFormat="1" applyFont="1" applyFill="1" applyBorder="1" applyAlignment="1">
      <alignment horizontal="center" vertical="center"/>
    </xf>
    <xf numFmtId="0" fontId="19" fillId="0" borderId="2" xfId="0" applyFont="1" applyFill="1" applyBorder="1" applyAlignment="1">
      <alignment horizontal="left" vertical="center"/>
    </xf>
    <xf numFmtId="3" fontId="13" fillId="0" borderId="2" xfId="2" applyNumberFormat="1" applyFont="1" applyFill="1" applyBorder="1" applyAlignment="1">
      <alignment horizontal="right" vertical="center"/>
    </xf>
    <xf numFmtId="1" fontId="38" fillId="0" borderId="2" xfId="2" applyNumberFormat="1" applyFont="1" applyFill="1" applyBorder="1" applyAlignment="1">
      <alignment horizontal="center" vertical="center" wrapText="1"/>
    </xf>
    <xf numFmtId="3" fontId="21" fillId="0" borderId="2" xfId="2" applyNumberFormat="1" applyFont="1" applyFill="1" applyBorder="1" applyAlignment="1">
      <alignment horizontal="right" vertical="center" wrapText="1"/>
    </xf>
    <xf numFmtId="3" fontId="16" fillId="0" borderId="0" xfId="2" applyNumberFormat="1" applyFont="1" applyFill="1" applyAlignment="1">
      <alignment vertical="center"/>
    </xf>
    <xf numFmtId="3" fontId="13" fillId="0" borderId="2" xfId="2" applyNumberFormat="1" applyFont="1" applyFill="1" applyBorder="1" applyAlignment="1">
      <alignment horizontal="left" vertical="center" wrapText="1"/>
    </xf>
    <xf numFmtId="3" fontId="15" fillId="0" borderId="2" xfId="2" applyNumberFormat="1" applyFont="1" applyFill="1" applyBorder="1" applyAlignment="1">
      <alignment horizontal="left" vertical="center" wrapText="1"/>
    </xf>
    <xf numFmtId="171" fontId="15" fillId="0" borderId="2" xfId="2" quotePrefix="1" applyNumberFormat="1" applyFont="1" applyFill="1" applyBorder="1" applyAlignment="1">
      <alignment horizontal="right" vertical="center" wrapText="1"/>
    </xf>
    <xf numFmtId="3" fontId="16" fillId="0" borderId="2" xfId="2" applyNumberFormat="1" applyFont="1" applyFill="1" applyBorder="1" applyAlignment="1">
      <alignment horizontal="right" vertical="center" wrapText="1"/>
    </xf>
    <xf numFmtId="172" fontId="16" fillId="0" borderId="0" xfId="2" applyNumberFormat="1" applyFont="1" applyFill="1" applyAlignment="1">
      <alignment horizontal="center" vertical="center"/>
    </xf>
    <xf numFmtId="164" fontId="13" fillId="0" borderId="2" xfId="2" quotePrefix="1" applyNumberFormat="1" applyFont="1" applyFill="1" applyBorder="1" applyAlignment="1">
      <alignment horizontal="right" vertical="center" wrapText="1"/>
    </xf>
    <xf numFmtId="1" fontId="14" fillId="0" borderId="2" xfId="2" applyNumberFormat="1" applyFont="1" applyFill="1" applyBorder="1" applyAlignment="1">
      <alignment horizontal="center" vertical="center"/>
    </xf>
    <xf numFmtId="0" fontId="37" fillId="0" borderId="2" xfId="0" applyFont="1" applyFill="1" applyBorder="1" applyAlignment="1">
      <alignment vertical="center" wrapText="1"/>
    </xf>
    <xf numFmtId="1" fontId="16" fillId="0" borderId="0" xfId="2" applyNumberFormat="1" applyFont="1" applyFill="1" applyAlignment="1">
      <alignment horizontal="center" vertical="center" wrapText="1"/>
    </xf>
    <xf numFmtId="1" fontId="4" fillId="0" borderId="0" xfId="2" applyNumberFormat="1" applyFont="1" applyFill="1" applyAlignment="1">
      <alignment horizontal="right" vertical="center"/>
    </xf>
    <xf numFmtId="1" fontId="16" fillId="0" borderId="0" xfId="2" applyNumberFormat="1" applyFont="1" applyFill="1" applyAlignment="1">
      <alignment horizontal="right" vertical="center"/>
    </xf>
    <xf numFmtId="1" fontId="4" fillId="0" borderId="0" xfId="2" applyNumberFormat="1" applyFont="1" applyFill="1" applyAlignment="1">
      <alignment horizontal="center" vertical="center"/>
    </xf>
    <xf numFmtId="167" fontId="16" fillId="0" borderId="2" xfId="7" applyNumberFormat="1" applyFont="1" applyBorder="1" applyAlignment="1">
      <alignment horizontal="center" vertical="center" wrapText="1"/>
    </xf>
    <xf numFmtId="0" fontId="16" fillId="0" borderId="2" xfId="7" applyFont="1" applyBorder="1" applyAlignment="1">
      <alignment horizontal="left" vertical="center" wrapText="1"/>
    </xf>
    <xf numFmtId="0" fontId="4" fillId="0" borderId="2" xfId="0" applyFont="1" applyBorder="1" applyAlignment="1">
      <alignment vertical="center" wrapText="1"/>
    </xf>
    <xf numFmtId="3" fontId="13" fillId="0" borderId="2" xfId="2" applyNumberFormat="1" applyFont="1" applyFill="1" applyBorder="1" applyAlignment="1">
      <alignment horizontal="center" vertical="center" wrapText="1"/>
    </xf>
    <xf numFmtId="1" fontId="3" fillId="0" borderId="0" xfId="2" applyNumberFormat="1" applyFont="1" applyFill="1" applyAlignment="1">
      <alignment horizontal="right" vertical="center"/>
    </xf>
    <xf numFmtId="1" fontId="5" fillId="0" borderId="0" xfId="2" applyNumberFormat="1" applyFont="1" applyFill="1" applyAlignment="1">
      <alignment horizontal="center" vertical="center" wrapText="1"/>
    </xf>
    <xf numFmtId="1" fontId="8" fillId="0" borderId="0" xfId="2" applyNumberFormat="1" applyFont="1" applyFill="1" applyAlignment="1">
      <alignment horizontal="center" vertical="center" wrapText="1"/>
    </xf>
    <xf numFmtId="1" fontId="9" fillId="0" borderId="0" xfId="2" applyNumberFormat="1" applyFont="1" applyFill="1" applyAlignment="1">
      <alignment horizontal="center" vertical="center"/>
    </xf>
    <xf numFmtId="3" fontId="12" fillId="0" borderId="1" xfId="2" applyNumberFormat="1" applyFont="1" applyFill="1" applyBorder="1" applyAlignment="1">
      <alignment horizontal="right" vertical="center" wrapText="1"/>
    </xf>
    <xf numFmtId="3" fontId="13" fillId="0" borderId="3" xfId="2" applyNumberFormat="1" applyFont="1" applyFill="1" applyBorder="1" applyAlignment="1">
      <alignment horizontal="center" vertical="center" wrapText="1"/>
    </xf>
    <xf numFmtId="3" fontId="13" fillId="0" borderId="4" xfId="2" applyNumberFormat="1" applyFont="1" applyFill="1" applyBorder="1" applyAlignment="1">
      <alignment horizontal="center" vertical="center" wrapText="1"/>
    </xf>
    <xf numFmtId="3" fontId="13" fillId="0" borderId="6" xfId="2" applyNumberFormat="1" applyFont="1" applyFill="1" applyBorder="1" applyAlignment="1">
      <alignment horizontal="center" vertical="center" wrapText="1"/>
    </xf>
    <xf numFmtId="3" fontId="13" fillId="0" borderId="7" xfId="2" applyNumberFormat="1" applyFont="1" applyFill="1" applyBorder="1" applyAlignment="1">
      <alignment horizontal="center" vertical="center" wrapText="1"/>
    </xf>
    <xf numFmtId="3" fontId="13" fillId="0" borderId="8" xfId="2" applyNumberFormat="1" applyFont="1" applyFill="1" applyBorder="1" applyAlignment="1">
      <alignment horizontal="center" vertical="center" wrapText="1"/>
    </xf>
    <xf numFmtId="3" fontId="13" fillId="0" borderId="5" xfId="2" applyNumberFormat="1" applyFont="1" applyFill="1" applyBorder="1" applyAlignment="1">
      <alignment horizontal="center" vertical="center" wrapText="1"/>
    </xf>
    <xf numFmtId="3" fontId="13" fillId="0" borderId="1" xfId="2" applyNumberFormat="1" applyFont="1" applyFill="1" applyBorder="1" applyAlignment="1">
      <alignment horizontal="center" vertical="center" wrapText="1"/>
    </xf>
    <xf numFmtId="3" fontId="13" fillId="0" borderId="9" xfId="2" applyNumberFormat="1" applyFont="1" applyFill="1" applyBorder="1" applyAlignment="1">
      <alignment horizontal="center" vertical="center" wrapText="1"/>
    </xf>
    <xf numFmtId="3" fontId="13" fillId="0" borderId="11" xfId="2" applyNumberFormat="1" applyFont="1" applyFill="1" applyBorder="1" applyAlignment="1">
      <alignment horizontal="center" vertical="center" wrapText="1"/>
    </xf>
    <xf numFmtId="3" fontId="13" fillId="0" borderId="12" xfId="2" applyNumberFormat="1" applyFont="1" applyFill="1" applyBorder="1" applyAlignment="1">
      <alignment horizontal="center" vertical="center" wrapText="1"/>
    </xf>
    <xf numFmtId="3" fontId="13" fillId="0" borderId="10" xfId="2" applyNumberFormat="1" applyFont="1" applyFill="1" applyBorder="1" applyAlignment="1">
      <alignment horizontal="center" vertical="center" wrapText="1"/>
    </xf>
    <xf numFmtId="3" fontId="14" fillId="0" borderId="3" xfId="2" applyNumberFormat="1" applyFont="1" applyFill="1" applyBorder="1" applyAlignment="1">
      <alignment horizontal="center" vertical="center" wrapText="1"/>
    </xf>
    <xf numFmtId="3" fontId="14" fillId="0" borderId="8" xfId="2" applyNumberFormat="1" applyFont="1" applyFill="1" applyBorder="1" applyAlignment="1">
      <alignment horizontal="center" vertical="center" wrapText="1"/>
    </xf>
    <xf numFmtId="3" fontId="14" fillId="0" borderId="6" xfId="2" applyNumberFormat="1" applyFont="1" applyFill="1" applyBorder="1" applyAlignment="1">
      <alignment horizontal="center" vertical="center" wrapText="1"/>
    </xf>
    <xf numFmtId="3" fontId="14" fillId="0" borderId="4" xfId="2" applyNumberFormat="1" applyFont="1" applyFill="1" applyBorder="1" applyAlignment="1">
      <alignment horizontal="center" vertical="center" wrapText="1"/>
    </xf>
    <xf numFmtId="3" fontId="14" fillId="0" borderId="7" xfId="2" applyNumberFormat="1" applyFont="1" applyFill="1" applyBorder="1" applyAlignment="1">
      <alignment horizontal="center" vertical="center" wrapText="1"/>
    </xf>
    <xf numFmtId="3" fontId="14" fillId="0" borderId="2" xfId="2" applyNumberFormat="1" applyFont="1" applyFill="1" applyBorder="1" applyAlignment="1">
      <alignment horizontal="center" vertical="center" wrapText="1"/>
    </xf>
    <xf numFmtId="167" fontId="13" fillId="0" borderId="2" xfId="3" applyNumberFormat="1" applyFont="1" applyFill="1" applyBorder="1" applyAlignment="1">
      <alignment horizontal="center" vertical="center" wrapText="1"/>
    </xf>
    <xf numFmtId="3" fontId="15" fillId="0" borderId="2" xfId="2" applyNumberFormat="1" applyFont="1" applyFill="1" applyBorder="1" applyAlignment="1">
      <alignment horizontal="center" vertical="center" wrapText="1"/>
    </xf>
    <xf numFmtId="3" fontId="12" fillId="0" borderId="2" xfId="2" applyNumberFormat="1" applyFont="1" applyFill="1" applyBorder="1" applyAlignment="1">
      <alignment horizontal="center" vertical="center" wrapText="1"/>
    </xf>
    <xf numFmtId="3" fontId="14" fillId="0" borderId="9" xfId="2" applyNumberFormat="1" applyFont="1" applyFill="1" applyBorder="1" applyAlignment="1">
      <alignment horizontal="center" vertical="center" wrapText="1"/>
    </xf>
    <xf numFmtId="3" fontId="14" fillId="0" borderId="11" xfId="2" applyNumberFormat="1" applyFont="1" applyFill="1" applyBorder="1" applyAlignment="1">
      <alignment horizontal="center" vertical="center" wrapText="1"/>
    </xf>
    <xf numFmtId="3" fontId="14" fillId="0" borderId="12" xfId="2" applyNumberFormat="1" applyFont="1" applyFill="1" applyBorder="1" applyAlignment="1">
      <alignment horizontal="center" vertical="center" wrapText="1"/>
    </xf>
    <xf numFmtId="1" fontId="10" fillId="0" borderId="0" xfId="2" applyNumberFormat="1" applyFont="1" applyFill="1" applyAlignment="1">
      <alignment horizontal="left" vertical="center"/>
    </xf>
  </cellXfs>
  <cellStyles count="25">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3" xfId="5"/>
    <cellStyle name="Comma" xfId="1" builtinId="3"/>
    <cellStyle name="Comma 10 10 2" xfId="12"/>
    <cellStyle name="Comma 10 2" xfId="3"/>
    <cellStyle name="Comma 13 2 2 2 2" xfId="17"/>
    <cellStyle name="Comma 2 2 2 24" xfId="23"/>
    <cellStyle name="Comma 2 28" xfId="16"/>
    <cellStyle name="Comma 28" xfId="6"/>
    <cellStyle name="Comma 76" xfId="20"/>
    <cellStyle name="Normal" xfId="0" builtinId="0"/>
    <cellStyle name="Normal 19" xfId="14"/>
    <cellStyle name="Normal 19 2" xfId="22"/>
    <cellStyle name="Normal 19 2 2" xfId="21"/>
    <cellStyle name="Normal 19 3" xfId="11"/>
    <cellStyle name="Normal 22" xfId="8"/>
    <cellStyle name="Normal 22 2 2" xfId="9"/>
    <cellStyle name="Normal 91" xfId="19"/>
    <cellStyle name="Normal_09 05 13 TH nguon KF thuc hien NQ 30a 2" xfId="15"/>
    <cellStyle name="Normal_Bieu mau (CV )" xfId="2"/>
    <cellStyle name="Normal_Bieu mau (CV ) 2" xfId="4"/>
    <cellStyle name="Normal_Bieu mau (CV ) 2_Bieu20TPCP2013" xfId="24"/>
    <cellStyle name="Normal_Bieu nhu cau bo tri  TPCP- 2010 -TH" xfId="18"/>
    <cellStyle name="Normal_Sheet1" xfId="10"/>
    <cellStyle name="Normal_Sheet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d09d1e31a997997\Copy\BC%20KH2020\K&#7871;%20ho&#7841;ch%20&#273;&#7847;u%20t&#432;%20c&#244;ng%20th&#225;ng%2011\VonNSDPKH%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 kien VonNSDP 2020"/>
      <sheetName val="TC.ĐM 2016-2020(không in)"/>
      <sheetName val="Phân bổ vốn(không in)"/>
      <sheetName val="ODAKH NSNN"/>
      <sheetName val="NC07 TH TPCP"/>
      <sheetName val="NC08 TPCP KH"/>
      <sheetName val="NC11 PPP"/>
      <sheetName val="BM18 BC nam DP"/>
      <sheetName val="Quy2THDP"/>
      <sheetName val="Quy2TPCPDP"/>
      <sheetName val="Quy2von khac Dp"/>
    </sheetNames>
    <sheetDataSet>
      <sheetData sheetId="0"/>
      <sheetData sheetId="1" refreshError="1"/>
      <sheetData sheetId="2">
        <row r="44">
          <cell r="J44">
            <v>726000</v>
          </cell>
        </row>
        <row r="74">
          <cell r="J74">
            <v>36164.439286059547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13.160.145.177/qlvb/vbpq.nsf/str/15517E5966F76A8947258105004FADE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57"/>
  <sheetViews>
    <sheetView tabSelected="1" view="pageBreakPreview" zoomScale="77" zoomScaleNormal="70" zoomScaleSheetLayoutView="77" workbookViewId="0">
      <selection activeCell="C6" sqref="C6:C12"/>
    </sheetView>
  </sheetViews>
  <sheetFormatPr defaultRowHeight="15"/>
  <cols>
    <col min="1" max="1" width="6.28515625" style="303" customWidth="1"/>
    <col min="2" max="2" width="42.28515625" style="61" customWidth="1"/>
    <col min="3" max="3" width="11.140625" style="60" customWidth="1"/>
    <col min="4" max="4" width="9.28515625" style="60" customWidth="1"/>
    <col min="5" max="5" width="13" style="60" customWidth="1"/>
    <col min="6" max="6" width="9.28515625" style="60" customWidth="1"/>
    <col min="7" max="7" width="11.28515625" style="60" customWidth="1"/>
    <col min="8" max="8" width="7.28515625" style="60" customWidth="1"/>
    <col min="9" max="9" width="17" style="300" customWidth="1"/>
    <col min="10" max="10" width="12.5703125" style="301" customWidth="1"/>
    <col min="11" max="11" width="12.85546875" style="301" customWidth="1"/>
    <col min="12" max="12" width="9.140625" style="301" hidden="1" customWidth="1"/>
    <col min="13" max="13" width="9.28515625" style="301" hidden="1" customWidth="1"/>
    <col min="14" max="14" width="11.140625" style="301" hidden="1" customWidth="1"/>
    <col min="15" max="15" width="11.28515625" style="301" hidden="1" customWidth="1"/>
    <col min="16" max="16" width="11.140625" style="302" hidden="1" customWidth="1"/>
    <col min="17" max="17" width="10.7109375" style="302" hidden="1" customWidth="1"/>
    <col min="18" max="18" width="12.140625" style="301" customWidth="1"/>
    <col min="19" max="19" width="12.42578125" style="301" customWidth="1"/>
    <col min="20" max="20" width="11" style="301" customWidth="1"/>
    <col min="21" max="21" width="10.140625" style="301" customWidth="1"/>
    <col min="22" max="22" width="10.85546875" style="302" hidden="1" customWidth="1"/>
    <col min="23" max="23" width="11.28515625" style="302" hidden="1" customWidth="1"/>
    <col min="24" max="24" width="10.85546875" style="302" hidden="1" customWidth="1"/>
    <col min="25" max="25" width="7.5703125" style="302" hidden="1" customWidth="1"/>
    <col min="26" max="26" width="10.28515625" style="302" hidden="1" customWidth="1"/>
    <col min="27" max="27" width="11.28515625" style="302" hidden="1" customWidth="1"/>
    <col min="28" max="28" width="11.5703125" style="56" hidden="1" customWidth="1"/>
    <col min="29" max="29" width="9.140625" style="302" hidden="1" customWidth="1"/>
    <col min="30" max="30" width="9.5703125" style="302" hidden="1" customWidth="1"/>
    <col min="31" max="31" width="13" style="302" hidden="1" customWidth="1"/>
    <col min="32" max="32" width="13.140625" style="302" hidden="1" customWidth="1"/>
    <col min="33" max="33" width="12.7109375" style="302" hidden="1" customWidth="1"/>
    <col min="34" max="34" width="11.7109375" style="302" hidden="1" customWidth="1"/>
    <col min="35" max="35" width="10.5703125" style="302" hidden="1" customWidth="1"/>
    <col min="36" max="36" width="10.140625" style="302" hidden="1" customWidth="1"/>
    <col min="37" max="37" width="8.28515625" style="302" hidden="1" customWidth="1"/>
    <col min="38" max="38" width="8.140625" style="302" hidden="1" customWidth="1"/>
    <col min="39" max="40" width="11.140625" style="302" hidden="1" customWidth="1"/>
    <col min="41" max="41" width="10.28515625" style="302" hidden="1" customWidth="1"/>
    <col min="42" max="42" width="8.7109375" style="302" hidden="1" customWidth="1"/>
    <col min="43" max="43" width="13.140625" style="301" hidden="1" customWidth="1"/>
    <col min="44" max="44" width="12.140625" style="301" hidden="1" customWidth="1"/>
    <col min="45" max="47" width="10.7109375" style="301" hidden="1" customWidth="1"/>
    <col min="48" max="48" width="10.42578125" style="301" hidden="1" customWidth="1"/>
    <col min="49" max="49" width="9.7109375" style="301" hidden="1" customWidth="1"/>
    <col min="50" max="50" width="12.42578125" style="302" customWidth="1"/>
    <col min="51" max="51" width="11.5703125" style="302" customWidth="1"/>
    <col min="52" max="52" width="10.42578125" style="302" customWidth="1"/>
    <col min="53" max="53" width="10.85546875" style="302" customWidth="1"/>
    <col min="54" max="55" width="10.5703125" style="302" customWidth="1"/>
    <col min="56" max="56" width="9.7109375" style="302" customWidth="1"/>
    <col min="57" max="57" width="18.5703125" style="60" customWidth="1"/>
    <col min="58" max="58" width="12.85546875" style="57" hidden="1" customWidth="1"/>
    <col min="59" max="59" width="14.42578125" style="57" customWidth="1"/>
    <col min="60" max="60" width="14.5703125" style="57" bestFit="1" customWidth="1"/>
    <col min="61" max="259" width="9.140625" style="57"/>
    <col min="260" max="260" width="6.28515625" style="57" customWidth="1"/>
    <col min="261" max="261" width="35.5703125" style="57" customWidth="1"/>
    <col min="262" max="264" width="0" style="57" hidden="1" customWidth="1"/>
    <col min="265" max="265" width="17.28515625" style="57" customWidth="1"/>
    <col min="266" max="266" width="11.28515625" style="57" customWidth="1"/>
    <col min="267" max="267" width="9.5703125" style="57" customWidth="1"/>
    <col min="268" max="273" width="0" style="57" hidden="1" customWidth="1"/>
    <col min="274" max="274" width="11.28515625" style="57" customWidth="1"/>
    <col min="275" max="275" width="11.140625" style="57" customWidth="1"/>
    <col min="276" max="276" width="8.140625" style="57" customWidth="1"/>
    <col min="277" max="277" width="9.28515625" style="57" customWidth="1"/>
    <col min="278" max="278" width="9" style="57" customWidth="1"/>
    <col min="279" max="279" width="9.28515625" style="57" customWidth="1"/>
    <col min="280" max="281" width="0" style="57" hidden="1" customWidth="1"/>
    <col min="282" max="282" width="9.140625" style="57" customWidth="1"/>
    <col min="283" max="283" width="10.140625" style="57" customWidth="1"/>
    <col min="284" max="284" width="9.140625" style="57" customWidth="1"/>
    <col min="285" max="291" width="9.5703125" style="57" customWidth="1"/>
    <col min="292" max="292" width="19.28515625" style="57" customWidth="1"/>
    <col min="293" max="293" width="22.140625" style="57" customWidth="1"/>
    <col min="294" max="294" width="16.7109375" style="57" customWidth="1"/>
    <col min="295" max="295" width="13.5703125" style="57" customWidth="1"/>
    <col min="296" max="296" width="12" style="57" customWidth="1"/>
    <col min="297" max="297" width="9.28515625" style="57" customWidth="1"/>
    <col min="298" max="298" width="15.28515625" style="57" customWidth="1"/>
    <col min="299" max="299" width="9.7109375" style="57" customWidth="1"/>
    <col min="300" max="300" width="2.5703125" style="57" customWidth="1"/>
    <col min="301" max="301" width="23.85546875" style="57" customWidth="1"/>
    <col min="302" max="515" width="9.140625" style="57"/>
    <col min="516" max="516" width="6.28515625" style="57" customWidth="1"/>
    <col min="517" max="517" width="35.5703125" style="57" customWidth="1"/>
    <col min="518" max="520" width="0" style="57" hidden="1" customWidth="1"/>
    <col min="521" max="521" width="17.28515625" style="57" customWidth="1"/>
    <col min="522" max="522" width="11.28515625" style="57" customWidth="1"/>
    <col min="523" max="523" width="9.5703125" style="57" customWidth="1"/>
    <col min="524" max="529" width="0" style="57" hidden="1" customWidth="1"/>
    <col min="530" max="530" width="11.28515625" style="57" customWidth="1"/>
    <col min="531" max="531" width="11.140625" style="57" customWidth="1"/>
    <col min="532" max="532" width="8.140625" style="57" customWidth="1"/>
    <col min="533" max="533" width="9.28515625" style="57" customWidth="1"/>
    <col min="534" max="534" width="9" style="57" customWidth="1"/>
    <col min="535" max="535" width="9.28515625" style="57" customWidth="1"/>
    <col min="536" max="537" width="0" style="57" hidden="1" customWidth="1"/>
    <col min="538" max="538" width="9.140625" style="57" customWidth="1"/>
    <col min="539" max="539" width="10.140625" style="57" customWidth="1"/>
    <col min="540" max="540" width="9.140625" style="57" customWidth="1"/>
    <col min="541" max="547" width="9.5703125" style="57" customWidth="1"/>
    <col min="548" max="548" width="19.28515625" style="57" customWidth="1"/>
    <col min="549" max="549" width="22.140625" style="57" customWidth="1"/>
    <col min="550" max="550" width="16.7109375" style="57" customWidth="1"/>
    <col min="551" max="551" width="13.5703125" style="57" customWidth="1"/>
    <col min="552" max="552" width="12" style="57" customWidth="1"/>
    <col min="553" max="553" width="9.28515625" style="57" customWidth="1"/>
    <col min="554" max="554" width="15.28515625" style="57" customWidth="1"/>
    <col min="555" max="555" width="9.7109375" style="57" customWidth="1"/>
    <col min="556" max="556" width="2.5703125" style="57" customWidth="1"/>
    <col min="557" max="557" width="23.85546875" style="57" customWidth="1"/>
    <col min="558" max="771" width="9.140625" style="57"/>
    <col min="772" max="772" width="6.28515625" style="57" customWidth="1"/>
    <col min="773" max="773" width="35.5703125" style="57" customWidth="1"/>
    <col min="774" max="776" width="0" style="57" hidden="1" customWidth="1"/>
    <col min="777" max="777" width="17.28515625" style="57" customWidth="1"/>
    <col min="778" max="778" width="11.28515625" style="57" customWidth="1"/>
    <col min="779" max="779" width="9.5703125" style="57" customWidth="1"/>
    <col min="780" max="785" width="0" style="57" hidden="1" customWidth="1"/>
    <col min="786" max="786" width="11.28515625" style="57" customWidth="1"/>
    <col min="787" max="787" width="11.140625" style="57" customWidth="1"/>
    <col min="788" max="788" width="8.140625" style="57" customWidth="1"/>
    <col min="789" max="789" width="9.28515625" style="57" customWidth="1"/>
    <col min="790" max="790" width="9" style="57" customWidth="1"/>
    <col min="791" max="791" width="9.28515625" style="57" customWidth="1"/>
    <col min="792" max="793" width="0" style="57" hidden="1" customWidth="1"/>
    <col min="794" max="794" width="9.140625" style="57" customWidth="1"/>
    <col min="795" max="795" width="10.140625" style="57" customWidth="1"/>
    <col min="796" max="796" width="9.140625" style="57" customWidth="1"/>
    <col min="797" max="803" width="9.5703125" style="57" customWidth="1"/>
    <col min="804" max="804" width="19.28515625" style="57" customWidth="1"/>
    <col min="805" max="805" width="22.140625" style="57" customWidth="1"/>
    <col min="806" max="806" width="16.7109375" style="57" customWidth="1"/>
    <col min="807" max="807" width="13.5703125" style="57" customWidth="1"/>
    <col min="808" max="808" width="12" style="57" customWidth="1"/>
    <col min="809" max="809" width="9.28515625" style="57" customWidth="1"/>
    <col min="810" max="810" width="15.28515625" style="57" customWidth="1"/>
    <col min="811" max="811" width="9.7109375" style="57" customWidth="1"/>
    <col min="812" max="812" width="2.5703125" style="57" customWidth="1"/>
    <col min="813" max="813" width="23.85546875" style="57" customWidth="1"/>
    <col min="814" max="1027" width="9.140625" style="57"/>
    <col min="1028" max="1028" width="6.28515625" style="57" customWidth="1"/>
    <col min="1029" max="1029" width="35.5703125" style="57" customWidth="1"/>
    <col min="1030" max="1032" width="0" style="57" hidden="1" customWidth="1"/>
    <col min="1033" max="1033" width="17.28515625" style="57" customWidth="1"/>
    <col min="1034" max="1034" width="11.28515625" style="57" customWidth="1"/>
    <col min="1035" max="1035" width="9.5703125" style="57" customWidth="1"/>
    <col min="1036" max="1041" width="0" style="57" hidden="1" customWidth="1"/>
    <col min="1042" max="1042" width="11.28515625" style="57" customWidth="1"/>
    <col min="1043" max="1043" width="11.140625" style="57" customWidth="1"/>
    <col min="1044" max="1044" width="8.140625" style="57" customWidth="1"/>
    <col min="1045" max="1045" width="9.28515625" style="57" customWidth="1"/>
    <col min="1046" max="1046" width="9" style="57" customWidth="1"/>
    <col min="1047" max="1047" width="9.28515625" style="57" customWidth="1"/>
    <col min="1048" max="1049" width="0" style="57" hidden="1" customWidth="1"/>
    <col min="1050" max="1050" width="9.140625" style="57" customWidth="1"/>
    <col min="1051" max="1051" width="10.140625" style="57" customWidth="1"/>
    <col min="1052" max="1052" width="9.140625" style="57" customWidth="1"/>
    <col min="1053" max="1059" width="9.5703125" style="57" customWidth="1"/>
    <col min="1060" max="1060" width="19.28515625" style="57" customWidth="1"/>
    <col min="1061" max="1061" width="22.140625" style="57" customWidth="1"/>
    <col min="1062" max="1062" width="16.7109375" style="57" customWidth="1"/>
    <col min="1063" max="1063" width="13.5703125" style="57" customWidth="1"/>
    <col min="1064" max="1064" width="12" style="57" customWidth="1"/>
    <col min="1065" max="1065" width="9.28515625" style="57" customWidth="1"/>
    <col min="1066" max="1066" width="15.28515625" style="57" customWidth="1"/>
    <col min="1067" max="1067" width="9.7109375" style="57" customWidth="1"/>
    <col min="1068" max="1068" width="2.5703125" style="57" customWidth="1"/>
    <col min="1069" max="1069" width="23.85546875" style="57" customWidth="1"/>
    <col min="1070" max="1283" width="9.140625" style="57"/>
    <col min="1284" max="1284" width="6.28515625" style="57" customWidth="1"/>
    <col min="1285" max="1285" width="35.5703125" style="57" customWidth="1"/>
    <col min="1286" max="1288" width="0" style="57" hidden="1" customWidth="1"/>
    <col min="1289" max="1289" width="17.28515625" style="57" customWidth="1"/>
    <col min="1290" max="1290" width="11.28515625" style="57" customWidth="1"/>
    <col min="1291" max="1291" width="9.5703125" style="57" customWidth="1"/>
    <col min="1292" max="1297" width="0" style="57" hidden="1" customWidth="1"/>
    <col min="1298" max="1298" width="11.28515625" style="57" customWidth="1"/>
    <col min="1299" max="1299" width="11.140625" style="57" customWidth="1"/>
    <col min="1300" max="1300" width="8.140625" style="57" customWidth="1"/>
    <col min="1301" max="1301" width="9.28515625" style="57" customWidth="1"/>
    <col min="1302" max="1302" width="9" style="57" customWidth="1"/>
    <col min="1303" max="1303" width="9.28515625" style="57" customWidth="1"/>
    <col min="1304" max="1305" width="0" style="57" hidden="1" customWidth="1"/>
    <col min="1306" max="1306" width="9.140625" style="57" customWidth="1"/>
    <col min="1307" max="1307" width="10.140625" style="57" customWidth="1"/>
    <col min="1308" max="1308" width="9.140625" style="57" customWidth="1"/>
    <col min="1309" max="1315" width="9.5703125" style="57" customWidth="1"/>
    <col min="1316" max="1316" width="19.28515625" style="57" customWidth="1"/>
    <col min="1317" max="1317" width="22.140625" style="57" customWidth="1"/>
    <col min="1318" max="1318" width="16.7109375" style="57" customWidth="1"/>
    <col min="1319" max="1319" width="13.5703125" style="57" customWidth="1"/>
    <col min="1320" max="1320" width="12" style="57" customWidth="1"/>
    <col min="1321" max="1321" width="9.28515625" style="57" customWidth="1"/>
    <col min="1322" max="1322" width="15.28515625" style="57" customWidth="1"/>
    <col min="1323" max="1323" width="9.7109375" style="57" customWidth="1"/>
    <col min="1324" max="1324" width="2.5703125" style="57" customWidth="1"/>
    <col min="1325" max="1325" width="23.85546875" style="57" customWidth="1"/>
    <col min="1326" max="1539" width="9.140625" style="57"/>
    <col min="1540" max="1540" width="6.28515625" style="57" customWidth="1"/>
    <col min="1541" max="1541" width="35.5703125" style="57" customWidth="1"/>
    <col min="1542" max="1544" width="0" style="57" hidden="1" customWidth="1"/>
    <col min="1545" max="1545" width="17.28515625" style="57" customWidth="1"/>
    <col min="1546" max="1546" width="11.28515625" style="57" customWidth="1"/>
    <col min="1547" max="1547" width="9.5703125" style="57" customWidth="1"/>
    <col min="1548" max="1553" width="0" style="57" hidden="1" customWidth="1"/>
    <col min="1554" max="1554" width="11.28515625" style="57" customWidth="1"/>
    <col min="1555" max="1555" width="11.140625" style="57" customWidth="1"/>
    <col min="1556" max="1556" width="8.140625" style="57" customWidth="1"/>
    <col min="1557" max="1557" width="9.28515625" style="57" customWidth="1"/>
    <col min="1558" max="1558" width="9" style="57" customWidth="1"/>
    <col min="1559" max="1559" width="9.28515625" style="57" customWidth="1"/>
    <col min="1560" max="1561" width="0" style="57" hidden="1" customWidth="1"/>
    <col min="1562" max="1562" width="9.140625" style="57" customWidth="1"/>
    <col min="1563" max="1563" width="10.140625" style="57" customWidth="1"/>
    <col min="1564" max="1564" width="9.140625" style="57" customWidth="1"/>
    <col min="1565" max="1571" width="9.5703125" style="57" customWidth="1"/>
    <col min="1572" max="1572" width="19.28515625" style="57" customWidth="1"/>
    <col min="1573" max="1573" width="22.140625" style="57" customWidth="1"/>
    <col min="1574" max="1574" width="16.7109375" style="57" customWidth="1"/>
    <col min="1575" max="1575" width="13.5703125" style="57" customWidth="1"/>
    <col min="1576" max="1576" width="12" style="57" customWidth="1"/>
    <col min="1577" max="1577" width="9.28515625" style="57" customWidth="1"/>
    <col min="1578" max="1578" width="15.28515625" style="57" customWidth="1"/>
    <col min="1579" max="1579" width="9.7109375" style="57" customWidth="1"/>
    <col min="1580" max="1580" width="2.5703125" style="57" customWidth="1"/>
    <col min="1581" max="1581" width="23.85546875" style="57" customWidth="1"/>
    <col min="1582" max="1795" width="9.140625" style="57"/>
    <col min="1796" max="1796" width="6.28515625" style="57" customWidth="1"/>
    <col min="1797" max="1797" width="35.5703125" style="57" customWidth="1"/>
    <col min="1798" max="1800" width="0" style="57" hidden="1" customWidth="1"/>
    <col min="1801" max="1801" width="17.28515625" style="57" customWidth="1"/>
    <col min="1802" max="1802" width="11.28515625" style="57" customWidth="1"/>
    <col min="1803" max="1803" width="9.5703125" style="57" customWidth="1"/>
    <col min="1804" max="1809" width="0" style="57" hidden="1" customWidth="1"/>
    <col min="1810" max="1810" width="11.28515625" style="57" customWidth="1"/>
    <col min="1811" max="1811" width="11.140625" style="57" customWidth="1"/>
    <col min="1812" max="1812" width="8.140625" style="57" customWidth="1"/>
    <col min="1813" max="1813" width="9.28515625" style="57" customWidth="1"/>
    <col min="1814" max="1814" width="9" style="57" customWidth="1"/>
    <col min="1815" max="1815" width="9.28515625" style="57" customWidth="1"/>
    <col min="1816" max="1817" width="0" style="57" hidden="1" customWidth="1"/>
    <col min="1818" max="1818" width="9.140625" style="57" customWidth="1"/>
    <col min="1819" max="1819" width="10.140625" style="57" customWidth="1"/>
    <col min="1820" max="1820" width="9.140625" style="57" customWidth="1"/>
    <col min="1821" max="1827" width="9.5703125" style="57" customWidth="1"/>
    <col min="1828" max="1828" width="19.28515625" style="57" customWidth="1"/>
    <col min="1829" max="1829" width="22.140625" style="57" customWidth="1"/>
    <col min="1830" max="1830" width="16.7109375" style="57" customWidth="1"/>
    <col min="1831" max="1831" width="13.5703125" style="57" customWidth="1"/>
    <col min="1832" max="1832" width="12" style="57" customWidth="1"/>
    <col min="1833" max="1833" width="9.28515625" style="57" customWidth="1"/>
    <col min="1834" max="1834" width="15.28515625" style="57" customWidth="1"/>
    <col min="1835" max="1835" width="9.7109375" style="57" customWidth="1"/>
    <col min="1836" max="1836" width="2.5703125" style="57" customWidth="1"/>
    <col min="1837" max="1837" width="23.85546875" style="57" customWidth="1"/>
    <col min="1838" max="2051" width="9.140625" style="57"/>
    <col min="2052" max="2052" width="6.28515625" style="57" customWidth="1"/>
    <col min="2053" max="2053" width="35.5703125" style="57" customWidth="1"/>
    <col min="2054" max="2056" width="0" style="57" hidden="1" customWidth="1"/>
    <col min="2057" max="2057" width="17.28515625" style="57" customWidth="1"/>
    <col min="2058" max="2058" width="11.28515625" style="57" customWidth="1"/>
    <col min="2059" max="2059" width="9.5703125" style="57" customWidth="1"/>
    <col min="2060" max="2065" width="0" style="57" hidden="1" customWidth="1"/>
    <col min="2066" max="2066" width="11.28515625" style="57" customWidth="1"/>
    <col min="2067" max="2067" width="11.140625" style="57" customWidth="1"/>
    <col min="2068" max="2068" width="8.140625" style="57" customWidth="1"/>
    <col min="2069" max="2069" width="9.28515625" style="57" customWidth="1"/>
    <col min="2070" max="2070" width="9" style="57" customWidth="1"/>
    <col min="2071" max="2071" width="9.28515625" style="57" customWidth="1"/>
    <col min="2072" max="2073" width="0" style="57" hidden="1" customWidth="1"/>
    <col min="2074" max="2074" width="9.140625" style="57" customWidth="1"/>
    <col min="2075" max="2075" width="10.140625" style="57" customWidth="1"/>
    <col min="2076" max="2076" width="9.140625" style="57" customWidth="1"/>
    <col min="2077" max="2083" width="9.5703125" style="57" customWidth="1"/>
    <col min="2084" max="2084" width="19.28515625" style="57" customWidth="1"/>
    <col min="2085" max="2085" width="22.140625" style="57" customWidth="1"/>
    <col min="2086" max="2086" width="16.7109375" style="57" customWidth="1"/>
    <col min="2087" max="2087" width="13.5703125" style="57" customWidth="1"/>
    <col min="2088" max="2088" width="12" style="57" customWidth="1"/>
    <col min="2089" max="2089" width="9.28515625" style="57" customWidth="1"/>
    <col min="2090" max="2090" width="15.28515625" style="57" customWidth="1"/>
    <col min="2091" max="2091" width="9.7109375" style="57" customWidth="1"/>
    <col min="2092" max="2092" width="2.5703125" style="57" customWidth="1"/>
    <col min="2093" max="2093" width="23.85546875" style="57" customWidth="1"/>
    <col min="2094" max="2307" width="9.140625" style="57"/>
    <col min="2308" max="2308" width="6.28515625" style="57" customWidth="1"/>
    <col min="2309" max="2309" width="35.5703125" style="57" customWidth="1"/>
    <col min="2310" max="2312" width="0" style="57" hidden="1" customWidth="1"/>
    <col min="2313" max="2313" width="17.28515625" style="57" customWidth="1"/>
    <col min="2314" max="2314" width="11.28515625" style="57" customWidth="1"/>
    <col min="2315" max="2315" width="9.5703125" style="57" customWidth="1"/>
    <col min="2316" max="2321" width="0" style="57" hidden="1" customWidth="1"/>
    <col min="2322" max="2322" width="11.28515625" style="57" customWidth="1"/>
    <col min="2323" max="2323" width="11.140625" style="57" customWidth="1"/>
    <col min="2324" max="2324" width="8.140625" style="57" customWidth="1"/>
    <col min="2325" max="2325" width="9.28515625" style="57" customWidth="1"/>
    <col min="2326" max="2326" width="9" style="57" customWidth="1"/>
    <col min="2327" max="2327" width="9.28515625" style="57" customWidth="1"/>
    <col min="2328" max="2329" width="0" style="57" hidden="1" customWidth="1"/>
    <col min="2330" max="2330" width="9.140625" style="57" customWidth="1"/>
    <col min="2331" max="2331" width="10.140625" style="57" customWidth="1"/>
    <col min="2332" max="2332" width="9.140625" style="57" customWidth="1"/>
    <col min="2333" max="2339" width="9.5703125" style="57" customWidth="1"/>
    <col min="2340" max="2340" width="19.28515625" style="57" customWidth="1"/>
    <col min="2341" max="2341" width="22.140625" style="57" customWidth="1"/>
    <col min="2342" max="2342" width="16.7109375" style="57" customWidth="1"/>
    <col min="2343" max="2343" width="13.5703125" style="57" customWidth="1"/>
    <col min="2344" max="2344" width="12" style="57" customWidth="1"/>
    <col min="2345" max="2345" width="9.28515625" style="57" customWidth="1"/>
    <col min="2346" max="2346" width="15.28515625" style="57" customWidth="1"/>
    <col min="2347" max="2347" width="9.7109375" style="57" customWidth="1"/>
    <col min="2348" max="2348" width="2.5703125" style="57" customWidth="1"/>
    <col min="2349" max="2349" width="23.85546875" style="57" customWidth="1"/>
    <col min="2350" max="2563" width="9.140625" style="57"/>
    <col min="2564" max="2564" width="6.28515625" style="57" customWidth="1"/>
    <col min="2565" max="2565" width="35.5703125" style="57" customWidth="1"/>
    <col min="2566" max="2568" width="0" style="57" hidden="1" customWidth="1"/>
    <col min="2569" max="2569" width="17.28515625" style="57" customWidth="1"/>
    <col min="2570" max="2570" width="11.28515625" style="57" customWidth="1"/>
    <col min="2571" max="2571" width="9.5703125" style="57" customWidth="1"/>
    <col min="2572" max="2577" width="0" style="57" hidden="1" customWidth="1"/>
    <col min="2578" max="2578" width="11.28515625" style="57" customWidth="1"/>
    <col min="2579" max="2579" width="11.140625" style="57" customWidth="1"/>
    <col min="2580" max="2580" width="8.140625" style="57" customWidth="1"/>
    <col min="2581" max="2581" width="9.28515625" style="57" customWidth="1"/>
    <col min="2582" max="2582" width="9" style="57" customWidth="1"/>
    <col min="2583" max="2583" width="9.28515625" style="57" customWidth="1"/>
    <col min="2584" max="2585" width="0" style="57" hidden="1" customWidth="1"/>
    <col min="2586" max="2586" width="9.140625" style="57" customWidth="1"/>
    <col min="2587" max="2587" width="10.140625" style="57" customWidth="1"/>
    <col min="2588" max="2588" width="9.140625" style="57" customWidth="1"/>
    <col min="2589" max="2595" width="9.5703125" style="57" customWidth="1"/>
    <col min="2596" max="2596" width="19.28515625" style="57" customWidth="1"/>
    <col min="2597" max="2597" width="22.140625" style="57" customWidth="1"/>
    <col min="2598" max="2598" width="16.7109375" style="57" customWidth="1"/>
    <col min="2599" max="2599" width="13.5703125" style="57" customWidth="1"/>
    <col min="2600" max="2600" width="12" style="57" customWidth="1"/>
    <col min="2601" max="2601" width="9.28515625" style="57" customWidth="1"/>
    <col min="2602" max="2602" width="15.28515625" style="57" customWidth="1"/>
    <col min="2603" max="2603" width="9.7109375" style="57" customWidth="1"/>
    <col min="2604" max="2604" width="2.5703125" style="57" customWidth="1"/>
    <col min="2605" max="2605" width="23.85546875" style="57" customWidth="1"/>
    <col min="2606" max="2819" width="9.140625" style="57"/>
    <col min="2820" max="2820" width="6.28515625" style="57" customWidth="1"/>
    <col min="2821" max="2821" width="35.5703125" style="57" customWidth="1"/>
    <col min="2822" max="2824" width="0" style="57" hidden="1" customWidth="1"/>
    <col min="2825" max="2825" width="17.28515625" style="57" customWidth="1"/>
    <col min="2826" max="2826" width="11.28515625" style="57" customWidth="1"/>
    <col min="2827" max="2827" width="9.5703125" style="57" customWidth="1"/>
    <col min="2828" max="2833" width="0" style="57" hidden="1" customWidth="1"/>
    <col min="2834" max="2834" width="11.28515625" style="57" customWidth="1"/>
    <col min="2835" max="2835" width="11.140625" style="57" customWidth="1"/>
    <col min="2836" max="2836" width="8.140625" style="57" customWidth="1"/>
    <col min="2837" max="2837" width="9.28515625" style="57" customWidth="1"/>
    <col min="2838" max="2838" width="9" style="57" customWidth="1"/>
    <col min="2839" max="2839" width="9.28515625" style="57" customWidth="1"/>
    <col min="2840" max="2841" width="0" style="57" hidden="1" customWidth="1"/>
    <col min="2842" max="2842" width="9.140625" style="57" customWidth="1"/>
    <col min="2843" max="2843" width="10.140625" style="57" customWidth="1"/>
    <col min="2844" max="2844" width="9.140625" style="57" customWidth="1"/>
    <col min="2845" max="2851" width="9.5703125" style="57" customWidth="1"/>
    <col min="2852" max="2852" width="19.28515625" style="57" customWidth="1"/>
    <col min="2853" max="2853" width="22.140625" style="57" customWidth="1"/>
    <col min="2854" max="2854" width="16.7109375" style="57" customWidth="1"/>
    <col min="2855" max="2855" width="13.5703125" style="57" customWidth="1"/>
    <col min="2856" max="2856" width="12" style="57" customWidth="1"/>
    <col min="2857" max="2857" width="9.28515625" style="57" customWidth="1"/>
    <col min="2858" max="2858" width="15.28515625" style="57" customWidth="1"/>
    <col min="2859" max="2859" width="9.7109375" style="57" customWidth="1"/>
    <col min="2860" max="2860" width="2.5703125" style="57" customWidth="1"/>
    <col min="2861" max="2861" width="23.85546875" style="57" customWidth="1"/>
    <col min="2862" max="3075" width="9.140625" style="57"/>
    <col min="3076" max="3076" width="6.28515625" style="57" customWidth="1"/>
    <col min="3077" max="3077" width="35.5703125" style="57" customWidth="1"/>
    <col min="3078" max="3080" width="0" style="57" hidden="1" customWidth="1"/>
    <col min="3081" max="3081" width="17.28515625" style="57" customWidth="1"/>
    <col min="3082" max="3082" width="11.28515625" style="57" customWidth="1"/>
    <col min="3083" max="3083" width="9.5703125" style="57" customWidth="1"/>
    <col min="3084" max="3089" width="0" style="57" hidden="1" customWidth="1"/>
    <col min="3090" max="3090" width="11.28515625" style="57" customWidth="1"/>
    <col min="3091" max="3091" width="11.140625" style="57" customWidth="1"/>
    <col min="3092" max="3092" width="8.140625" style="57" customWidth="1"/>
    <col min="3093" max="3093" width="9.28515625" style="57" customWidth="1"/>
    <col min="3094" max="3094" width="9" style="57" customWidth="1"/>
    <col min="3095" max="3095" width="9.28515625" style="57" customWidth="1"/>
    <col min="3096" max="3097" width="0" style="57" hidden="1" customWidth="1"/>
    <col min="3098" max="3098" width="9.140625" style="57" customWidth="1"/>
    <col min="3099" max="3099" width="10.140625" style="57" customWidth="1"/>
    <col min="3100" max="3100" width="9.140625" style="57" customWidth="1"/>
    <col min="3101" max="3107" width="9.5703125" style="57" customWidth="1"/>
    <col min="3108" max="3108" width="19.28515625" style="57" customWidth="1"/>
    <col min="3109" max="3109" width="22.140625" style="57" customWidth="1"/>
    <col min="3110" max="3110" width="16.7109375" style="57" customWidth="1"/>
    <col min="3111" max="3111" width="13.5703125" style="57" customWidth="1"/>
    <col min="3112" max="3112" width="12" style="57" customWidth="1"/>
    <col min="3113" max="3113" width="9.28515625" style="57" customWidth="1"/>
    <col min="3114" max="3114" width="15.28515625" style="57" customWidth="1"/>
    <col min="3115" max="3115" width="9.7109375" style="57" customWidth="1"/>
    <col min="3116" max="3116" width="2.5703125" style="57" customWidth="1"/>
    <col min="3117" max="3117" width="23.85546875" style="57" customWidth="1"/>
    <col min="3118" max="3331" width="9.140625" style="57"/>
    <col min="3332" max="3332" width="6.28515625" style="57" customWidth="1"/>
    <col min="3333" max="3333" width="35.5703125" style="57" customWidth="1"/>
    <col min="3334" max="3336" width="0" style="57" hidden="1" customWidth="1"/>
    <col min="3337" max="3337" width="17.28515625" style="57" customWidth="1"/>
    <col min="3338" max="3338" width="11.28515625" style="57" customWidth="1"/>
    <col min="3339" max="3339" width="9.5703125" style="57" customWidth="1"/>
    <col min="3340" max="3345" width="0" style="57" hidden="1" customWidth="1"/>
    <col min="3346" max="3346" width="11.28515625" style="57" customWidth="1"/>
    <col min="3347" max="3347" width="11.140625" style="57" customWidth="1"/>
    <col min="3348" max="3348" width="8.140625" style="57" customWidth="1"/>
    <col min="3349" max="3349" width="9.28515625" style="57" customWidth="1"/>
    <col min="3350" max="3350" width="9" style="57" customWidth="1"/>
    <col min="3351" max="3351" width="9.28515625" style="57" customWidth="1"/>
    <col min="3352" max="3353" width="0" style="57" hidden="1" customWidth="1"/>
    <col min="3354" max="3354" width="9.140625" style="57" customWidth="1"/>
    <col min="3355" max="3355" width="10.140625" style="57" customWidth="1"/>
    <col min="3356" max="3356" width="9.140625" style="57" customWidth="1"/>
    <col min="3357" max="3363" width="9.5703125" style="57" customWidth="1"/>
    <col min="3364" max="3364" width="19.28515625" style="57" customWidth="1"/>
    <col min="3365" max="3365" width="22.140625" style="57" customWidth="1"/>
    <col min="3366" max="3366" width="16.7109375" style="57" customWidth="1"/>
    <col min="3367" max="3367" width="13.5703125" style="57" customWidth="1"/>
    <col min="3368" max="3368" width="12" style="57" customWidth="1"/>
    <col min="3369" max="3369" width="9.28515625" style="57" customWidth="1"/>
    <col min="3370" max="3370" width="15.28515625" style="57" customWidth="1"/>
    <col min="3371" max="3371" width="9.7109375" style="57" customWidth="1"/>
    <col min="3372" max="3372" width="2.5703125" style="57" customWidth="1"/>
    <col min="3373" max="3373" width="23.85546875" style="57" customWidth="1"/>
    <col min="3374" max="3587" width="9.140625" style="57"/>
    <col min="3588" max="3588" width="6.28515625" style="57" customWidth="1"/>
    <col min="3589" max="3589" width="35.5703125" style="57" customWidth="1"/>
    <col min="3590" max="3592" width="0" style="57" hidden="1" customWidth="1"/>
    <col min="3593" max="3593" width="17.28515625" style="57" customWidth="1"/>
    <col min="3594" max="3594" width="11.28515625" style="57" customWidth="1"/>
    <col min="3595" max="3595" width="9.5703125" style="57" customWidth="1"/>
    <col min="3596" max="3601" width="0" style="57" hidden="1" customWidth="1"/>
    <col min="3602" max="3602" width="11.28515625" style="57" customWidth="1"/>
    <col min="3603" max="3603" width="11.140625" style="57" customWidth="1"/>
    <col min="3604" max="3604" width="8.140625" style="57" customWidth="1"/>
    <col min="3605" max="3605" width="9.28515625" style="57" customWidth="1"/>
    <col min="3606" max="3606" width="9" style="57" customWidth="1"/>
    <col min="3607" max="3607" width="9.28515625" style="57" customWidth="1"/>
    <col min="3608" max="3609" width="0" style="57" hidden="1" customWidth="1"/>
    <col min="3610" max="3610" width="9.140625" style="57" customWidth="1"/>
    <col min="3611" max="3611" width="10.140625" style="57" customWidth="1"/>
    <col min="3612" max="3612" width="9.140625" style="57" customWidth="1"/>
    <col min="3613" max="3619" width="9.5703125" style="57" customWidth="1"/>
    <col min="3620" max="3620" width="19.28515625" style="57" customWidth="1"/>
    <col min="3621" max="3621" width="22.140625" style="57" customWidth="1"/>
    <col min="3622" max="3622" width="16.7109375" style="57" customWidth="1"/>
    <col min="3623" max="3623" width="13.5703125" style="57" customWidth="1"/>
    <col min="3624" max="3624" width="12" style="57" customWidth="1"/>
    <col min="3625" max="3625" width="9.28515625" style="57" customWidth="1"/>
    <col min="3626" max="3626" width="15.28515625" style="57" customWidth="1"/>
    <col min="3627" max="3627" width="9.7109375" style="57" customWidth="1"/>
    <col min="3628" max="3628" width="2.5703125" style="57" customWidth="1"/>
    <col min="3629" max="3629" width="23.85546875" style="57" customWidth="1"/>
    <col min="3630" max="3843" width="9.140625" style="57"/>
    <col min="3844" max="3844" width="6.28515625" style="57" customWidth="1"/>
    <col min="3845" max="3845" width="35.5703125" style="57" customWidth="1"/>
    <col min="3846" max="3848" width="0" style="57" hidden="1" customWidth="1"/>
    <col min="3849" max="3849" width="17.28515625" style="57" customWidth="1"/>
    <col min="3850" max="3850" width="11.28515625" style="57" customWidth="1"/>
    <col min="3851" max="3851" width="9.5703125" style="57" customWidth="1"/>
    <col min="3852" max="3857" width="0" style="57" hidden="1" customWidth="1"/>
    <col min="3858" max="3858" width="11.28515625" style="57" customWidth="1"/>
    <col min="3859" max="3859" width="11.140625" style="57" customWidth="1"/>
    <col min="3860" max="3860" width="8.140625" style="57" customWidth="1"/>
    <col min="3861" max="3861" width="9.28515625" style="57" customWidth="1"/>
    <col min="3862" max="3862" width="9" style="57" customWidth="1"/>
    <col min="3863" max="3863" width="9.28515625" style="57" customWidth="1"/>
    <col min="3864" max="3865" width="0" style="57" hidden="1" customWidth="1"/>
    <col min="3866" max="3866" width="9.140625" style="57" customWidth="1"/>
    <col min="3867" max="3867" width="10.140625" style="57" customWidth="1"/>
    <col min="3868" max="3868" width="9.140625" style="57" customWidth="1"/>
    <col min="3869" max="3875" width="9.5703125" style="57" customWidth="1"/>
    <col min="3876" max="3876" width="19.28515625" style="57" customWidth="1"/>
    <col min="3877" max="3877" width="22.140625" style="57" customWidth="1"/>
    <col min="3878" max="3878" width="16.7109375" style="57" customWidth="1"/>
    <col min="3879" max="3879" width="13.5703125" style="57" customWidth="1"/>
    <col min="3880" max="3880" width="12" style="57" customWidth="1"/>
    <col min="3881" max="3881" width="9.28515625" style="57" customWidth="1"/>
    <col min="3882" max="3882" width="15.28515625" style="57" customWidth="1"/>
    <col min="3883" max="3883" width="9.7109375" style="57" customWidth="1"/>
    <col min="3884" max="3884" width="2.5703125" style="57" customWidth="1"/>
    <col min="3885" max="3885" width="23.85546875" style="57" customWidth="1"/>
    <col min="3886" max="4099" width="9.140625" style="57"/>
    <col min="4100" max="4100" width="6.28515625" style="57" customWidth="1"/>
    <col min="4101" max="4101" width="35.5703125" style="57" customWidth="1"/>
    <col min="4102" max="4104" width="0" style="57" hidden="1" customWidth="1"/>
    <col min="4105" max="4105" width="17.28515625" style="57" customWidth="1"/>
    <col min="4106" max="4106" width="11.28515625" style="57" customWidth="1"/>
    <col min="4107" max="4107" width="9.5703125" style="57" customWidth="1"/>
    <col min="4108" max="4113" width="0" style="57" hidden="1" customWidth="1"/>
    <col min="4114" max="4114" width="11.28515625" style="57" customWidth="1"/>
    <col min="4115" max="4115" width="11.140625" style="57" customWidth="1"/>
    <col min="4116" max="4116" width="8.140625" style="57" customWidth="1"/>
    <col min="4117" max="4117" width="9.28515625" style="57" customWidth="1"/>
    <col min="4118" max="4118" width="9" style="57" customWidth="1"/>
    <col min="4119" max="4119" width="9.28515625" style="57" customWidth="1"/>
    <col min="4120" max="4121" width="0" style="57" hidden="1" customWidth="1"/>
    <col min="4122" max="4122" width="9.140625" style="57" customWidth="1"/>
    <col min="4123" max="4123" width="10.140625" style="57" customWidth="1"/>
    <col min="4124" max="4124" width="9.140625" style="57" customWidth="1"/>
    <col min="4125" max="4131" width="9.5703125" style="57" customWidth="1"/>
    <col min="4132" max="4132" width="19.28515625" style="57" customWidth="1"/>
    <col min="4133" max="4133" width="22.140625" style="57" customWidth="1"/>
    <col min="4134" max="4134" width="16.7109375" style="57" customWidth="1"/>
    <col min="4135" max="4135" width="13.5703125" style="57" customWidth="1"/>
    <col min="4136" max="4136" width="12" style="57" customWidth="1"/>
    <col min="4137" max="4137" width="9.28515625" style="57" customWidth="1"/>
    <col min="4138" max="4138" width="15.28515625" style="57" customWidth="1"/>
    <col min="4139" max="4139" width="9.7109375" style="57" customWidth="1"/>
    <col min="4140" max="4140" width="2.5703125" style="57" customWidth="1"/>
    <col min="4141" max="4141" width="23.85546875" style="57" customWidth="1"/>
    <col min="4142" max="4355" width="9.140625" style="57"/>
    <col min="4356" max="4356" width="6.28515625" style="57" customWidth="1"/>
    <col min="4357" max="4357" width="35.5703125" style="57" customWidth="1"/>
    <col min="4358" max="4360" width="0" style="57" hidden="1" customWidth="1"/>
    <col min="4361" max="4361" width="17.28515625" style="57" customWidth="1"/>
    <col min="4362" max="4362" width="11.28515625" style="57" customWidth="1"/>
    <col min="4363" max="4363" width="9.5703125" style="57" customWidth="1"/>
    <col min="4364" max="4369" width="0" style="57" hidden="1" customWidth="1"/>
    <col min="4370" max="4370" width="11.28515625" style="57" customWidth="1"/>
    <col min="4371" max="4371" width="11.140625" style="57" customWidth="1"/>
    <col min="4372" max="4372" width="8.140625" style="57" customWidth="1"/>
    <col min="4373" max="4373" width="9.28515625" style="57" customWidth="1"/>
    <col min="4374" max="4374" width="9" style="57" customWidth="1"/>
    <col min="4375" max="4375" width="9.28515625" style="57" customWidth="1"/>
    <col min="4376" max="4377" width="0" style="57" hidden="1" customWidth="1"/>
    <col min="4378" max="4378" width="9.140625" style="57" customWidth="1"/>
    <col min="4379" max="4379" width="10.140625" style="57" customWidth="1"/>
    <col min="4380" max="4380" width="9.140625" style="57" customWidth="1"/>
    <col min="4381" max="4387" width="9.5703125" style="57" customWidth="1"/>
    <col min="4388" max="4388" width="19.28515625" style="57" customWidth="1"/>
    <col min="4389" max="4389" width="22.140625" style="57" customWidth="1"/>
    <col min="4390" max="4390" width="16.7109375" style="57" customWidth="1"/>
    <col min="4391" max="4391" width="13.5703125" style="57" customWidth="1"/>
    <col min="4392" max="4392" width="12" style="57" customWidth="1"/>
    <col min="4393" max="4393" width="9.28515625" style="57" customWidth="1"/>
    <col min="4394" max="4394" width="15.28515625" style="57" customWidth="1"/>
    <col min="4395" max="4395" width="9.7109375" style="57" customWidth="1"/>
    <col min="4396" max="4396" width="2.5703125" style="57" customWidth="1"/>
    <col min="4397" max="4397" width="23.85546875" style="57" customWidth="1"/>
    <col min="4398" max="4611" width="9.140625" style="57"/>
    <col min="4612" max="4612" width="6.28515625" style="57" customWidth="1"/>
    <col min="4613" max="4613" width="35.5703125" style="57" customWidth="1"/>
    <col min="4614" max="4616" width="0" style="57" hidden="1" customWidth="1"/>
    <col min="4617" max="4617" width="17.28515625" style="57" customWidth="1"/>
    <col min="4618" max="4618" width="11.28515625" style="57" customWidth="1"/>
    <col min="4619" max="4619" width="9.5703125" style="57" customWidth="1"/>
    <col min="4620" max="4625" width="0" style="57" hidden="1" customWidth="1"/>
    <col min="4626" max="4626" width="11.28515625" style="57" customWidth="1"/>
    <col min="4627" max="4627" width="11.140625" style="57" customWidth="1"/>
    <col min="4628" max="4628" width="8.140625" style="57" customWidth="1"/>
    <col min="4629" max="4629" width="9.28515625" style="57" customWidth="1"/>
    <col min="4630" max="4630" width="9" style="57" customWidth="1"/>
    <col min="4631" max="4631" width="9.28515625" style="57" customWidth="1"/>
    <col min="4632" max="4633" width="0" style="57" hidden="1" customWidth="1"/>
    <col min="4634" max="4634" width="9.140625" style="57" customWidth="1"/>
    <col min="4635" max="4635" width="10.140625" style="57" customWidth="1"/>
    <col min="4636" max="4636" width="9.140625" style="57" customWidth="1"/>
    <col min="4637" max="4643" width="9.5703125" style="57" customWidth="1"/>
    <col min="4644" max="4644" width="19.28515625" style="57" customWidth="1"/>
    <col min="4645" max="4645" width="22.140625" style="57" customWidth="1"/>
    <col min="4646" max="4646" width="16.7109375" style="57" customWidth="1"/>
    <col min="4647" max="4647" width="13.5703125" style="57" customWidth="1"/>
    <col min="4648" max="4648" width="12" style="57" customWidth="1"/>
    <col min="4649" max="4649" width="9.28515625" style="57" customWidth="1"/>
    <col min="4650" max="4650" width="15.28515625" style="57" customWidth="1"/>
    <col min="4651" max="4651" width="9.7109375" style="57" customWidth="1"/>
    <col min="4652" max="4652" width="2.5703125" style="57" customWidth="1"/>
    <col min="4653" max="4653" width="23.85546875" style="57" customWidth="1"/>
    <col min="4654" max="4867" width="9.140625" style="57"/>
    <col min="4868" max="4868" width="6.28515625" style="57" customWidth="1"/>
    <col min="4869" max="4869" width="35.5703125" style="57" customWidth="1"/>
    <col min="4870" max="4872" width="0" style="57" hidden="1" customWidth="1"/>
    <col min="4873" max="4873" width="17.28515625" style="57" customWidth="1"/>
    <col min="4874" max="4874" width="11.28515625" style="57" customWidth="1"/>
    <col min="4875" max="4875" width="9.5703125" style="57" customWidth="1"/>
    <col min="4876" max="4881" width="0" style="57" hidden="1" customWidth="1"/>
    <col min="4882" max="4882" width="11.28515625" style="57" customWidth="1"/>
    <col min="4883" max="4883" width="11.140625" style="57" customWidth="1"/>
    <col min="4884" max="4884" width="8.140625" style="57" customWidth="1"/>
    <col min="4885" max="4885" width="9.28515625" style="57" customWidth="1"/>
    <col min="4886" max="4886" width="9" style="57" customWidth="1"/>
    <col min="4887" max="4887" width="9.28515625" style="57" customWidth="1"/>
    <col min="4888" max="4889" width="0" style="57" hidden="1" customWidth="1"/>
    <col min="4890" max="4890" width="9.140625" style="57" customWidth="1"/>
    <col min="4891" max="4891" width="10.140625" style="57" customWidth="1"/>
    <col min="4892" max="4892" width="9.140625" style="57" customWidth="1"/>
    <col min="4893" max="4899" width="9.5703125" style="57" customWidth="1"/>
    <col min="4900" max="4900" width="19.28515625" style="57" customWidth="1"/>
    <col min="4901" max="4901" width="22.140625" style="57" customWidth="1"/>
    <col min="4902" max="4902" width="16.7109375" style="57" customWidth="1"/>
    <col min="4903" max="4903" width="13.5703125" style="57" customWidth="1"/>
    <col min="4904" max="4904" width="12" style="57" customWidth="1"/>
    <col min="4905" max="4905" width="9.28515625" style="57" customWidth="1"/>
    <col min="4906" max="4906" width="15.28515625" style="57" customWidth="1"/>
    <col min="4907" max="4907" width="9.7109375" style="57" customWidth="1"/>
    <col min="4908" max="4908" width="2.5703125" style="57" customWidth="1"/>
    <col min="4909" max="4909" width="23.85546875" style="57" customWidth="1"/>
    <col min="4910" max="5123" width="9.140625" style="57"/>
    <col min="5124" max="5124" width="6.28515625" style="57" customWidth="1"/>
    <col min="5125" max="5125" width="35.5703125" style="57" customWidth="1"/>
    <col min="5126" max="5128" width="0" style="57" hidden="1" customWidth="1"/>
    <col min="5129" max="5129" width="17.28515625" style="57" customWidth="1"/>
    <col min="5130" max="5130" width="11.28515625" style="57" customWidth="1"/>
    <col min="5131" max="5131" width="9.5703125" style="57" customWidth="1"/>
    <col min="5132" max="5137" width="0" style="57" hidden="1" customWidth="1"/>
    <col min="5138" max="5138" width="11.28515625" style="57" customWidth="1"/>
    <col min="5139" max="5139" width="11.140625" style="57" customWidth="1"/>
    <col min="5140" max="5140" width="8.140625" style="57" customWidth="1"/>
    <col min="5141" max="5141" width="9.28515625" style="57" customWidth="1"/>
    <col min="5142" max="5142" width="9" style="57" customWidth="1"/>
    <col min="5143" max="5143" width="9.28515625" style="57" customWidth="1"/>
    <col min="5144" max="5145" width="0" style="57" hidden="1" customWidth="1"/>
    <col min="5146" max="5146" width="9.140625" style="57" customWidth="1"/>
    <col min="5147" max="5147" width="10.140625" style="57" customWidth="1"/>
    <col min="5148" max="5148" width="9.140625" style="57" customWidth="1"/>
    <col min="5149" max="5155" width="9.5703125" style="57" customWidth="1"/>
    <col min="5156" max="5156" width="19.28515625" style="57" customWidth="1"/>
    <col min="5157" max="5157" width="22.140625" style="57" customWidth="1"/>
    <col min="5158" max="5158" width="16.7109375" style="57" customWidth="1"/>
    <col min="5159" max="5159" width="13.5703125" style="57" customWidth="1"/>
    <col min="5160" max="5160" width="12" style="57" customWidth="1"/>
    <col min="5161" max="5161" width="9.28515625" style="57" customWidth="1"/>
    <col min="5162" max="5162" width="15.28515625" style="57" customWidth="1"/>
    <col min="5163" max="5163" width="9.7109375" style="57" customWidth="1"/>
    <col min="5164" max="5164" width="2.5703125" style="57" customWidth="1"/>
    <col min="5165" max="5165" width="23.85546875" style="57" customWidth="1"/>
    <col min="5166" max="5379" width="9.140625" style="57"/>
    <col min="5380" max="5380" width="6.28515625" style="57" customWidth="1"/>
    <col min="5381" max="5381" width="35.5703125" style="57" customWidth="1"/>
    <col min="5382" max="5384" width="0" style="57" hidden="1" customWidth="1"/>
    <col min="5385" max="5385" width="17.28515625" style="57" customWidth="1"/>
    <col min="5386" max="5386" width="11.28515625" style="57" customWidth="1"/>
    <col min="5387" max="5387" width="9.5703125" style="57" customWidth="1"/>
    <col min="5388" max="5393" width="0" style="57" hidden="1" customWidth="1"/>
    <col min="5394" max="5394" width="11.28515625" style="57" customWidth="1"/>
    <col min="5395" max="5395" width="11.140625" style="57" customWidth="1"/>
    <col min="5396" max="5396" width="8.140625" style="57" customWidth="1"/>
    <col min="5397" max="5397" width="9.28515625" style="57" customWidth="1"/>
    <col min="5398" max="5398" width="9" style="57" customWidth="1"/>
    <col min="5399" max="5399" width="9.28515625" style="57" customWidth="1"/>
    <col min="5400" max="5401" width="0" style="57" hidden="1" customWidth="1"/>
    <col min="5402" max="5402" width="9.140625" style="57" customWidth="1"/>
    <col min="5403" max="5403" width="10.140625" style="57" customWidth="1"/>
    <col min="5404" max="5404" width="9.140625" style="57" customWidth="1"/>
    <col min="5405" max="5411" width="9.5703125" style="57" customWidth="1"/>
    <col min="5412" max="5412" width="19.28515625" style="57" customWidth="1"/>
    <col min="5413" max="5413" width="22.140625" style="57" customWidth="1"/>
    <col min="5414" max="5414" width="16.7109375" style="57" customWidth="1"/>
    <col min="5415" max="5415" width="13.5703125" style="57" customWidth="1"/>
    <col min="5416" max="5416" width="12" style="57" customWidth="1"/>
    <col min="5417" max="5417" width="9.28515625" style="57" customWidth="1"/>
    <col min="5418" max="5418" width="15.28515625" style="57" customWidth="1"/>
    <col min="5419" max="5419" width="9.7109375" style="57" customWidth="1"/>
    <col min="5420" max="5420" width="2.5703125" style="57" customWidth="1"/>
    <col min="5421" max="5421" width="23.85546875" style="57" customWidth="1"/>
    <col min="5422" max="5635" width="9.140625" style="57"/>
    <col min="5636" max="5636" width="6.28515625" style="57" customWidth="1"/>
    <col min="5637" max="5637" width="35.5703125" style="57" customWidth="1"/>
    <col min="5638" max="5640" width="0" style="57" hidden="1" customWidth="1"/>
    <col min="5641" max="5641" width="17.28515625" style="57" customWidth="1"/>
    <col min="5642" max="5642" width="11.28515625" style="57" customWidth="1"/>
    <col min="5643" max="5643" width="9.5703125" style="57" customWidth="1"/>
    <col min="5644" max="5649" width="0" style="57" hidden="1" customWidth="1"/>
    <col min="5650" max="5650" width="11.28515625" style="57" customWidth="1"/>
    <col min="5651" max="5651" width="11.140625" style="57" customWidth="1"/>
    <col min="5652" max="5652" width="8.140625" style="57" customWidth="1"/>
    <col min="5653" max="5653" width="9.28515625" style="57" customWidth="1"/>
    <col min="5654" max="5654" width="9" style="57" customWidth="1"/>
    <col min="5655" max="5655" width="9.28515625" style="57" customWidth="1"/>
    <col min="5656" max="5657" width="0" style="57" hidden="1" customWidth="1"/>
    <col min="5658" max="5658" width="9.140625" style="57" customWidth="1"/>
    <col min="5659" max="5659" width="10.140625" style="57" customWidth="1"/>
    <col min="5660" max="5660" width="9.140625" style="57" customWidth="1"/>
    <col min="5661" max="5667" width="9.5703125" style="57" customWidth="1"/>
    <col min="5668" max="5668" width="19.28515625" style="57" customWidth="1"/>
    <col min="5669" max="5669" width="22.140625" style="57" customWidth="1"/>
    <col min="5670" max="5670" width="16.7109375" style="57" customWidth="1"/>
    <col min="5671" max="5671" width="13.5703125" style="57" customWidth="1"/>
    <col min="5672" max="5672" width="12" style="57" customWidth="1"/>
    <col min="5673" max="5673" width="9.28515625" style="57" customWidth="1"/>
    <col min="5674" max="5674" width="15.28515625" style="57" customWidth="1"/>
    <col min="5675" max="5675" width="9.7109375" style="57" customWidth="1"/>
    <col min="5676" max="5676" width="2.5703125" style="57" customWidth="1"/>
    <col min="5677" max="5677" width="23.85546875" style="57" customWidth="1"/>
    <col min="5678" max="5891" width="9.140625" style="57"/>
    <col min="5892" max="5892" width="6.28515625" style="57" customWidth="1"/>
    <col min="5893" max="5893" width="35.5703125" style="57" customWidth="1"/>
    <col min="5894" max="5896" width="0" style="57" hidden="1" customWidth="1"/>
    <col min="5897" max="5897" width="17.28515625" style="57" customWidth="1"/>
    <col min="5898" max="5898" width="11.28515625" style="57" customWidth="1"/>
    <col min="5899" max="5899" width="9.5703125" style="57" customWidth="1"/>
    <col min="5900" max="5905" width="0" style="57" hidden="1" customWidth="1"/>
    <col min="5906" max="5906" width="11.28515625" style="57" customWidth="1"/>
    <col min="5907" max="5907" width="11.140625" style="57" customWidth="1"/>
    <col min="5908" max="5908" width="8.140625" style="57" customWidth="1"/>
    <col min="5909" max="5909" width="9.28515625" style="57" customWidth="1"/>
    <col min="5910" max="5910" width="9" style="57" customWidth="1"/>
    <col min="5911" max="5911" width="9.28515625" style="57" customWidth="1"/>
    <col min="5912" max="5913" width="0" style="57" hidden="1" customWidth="1"/>
    <col min="5914" max="5914" width="9.140625" style="57" customWidth="1"/>
    <col min="5915" max="5915" width="10.140625" style="57" customWidth="1"/>
    <col min="5916" max="5916" width="9.140625" style="57" customWidth="1"/>
    <col min="5917" max="5923" width="9.5703125" style="57" customWidth="1"/>
    <col min="5924" max="5924" width="19.28515625" style="57" customWidth="1"/>
    <col min="5925" max="5925" width="22.140625" style="57" customWidth="1"/>
    <col min="5926" max="5926" width="16.7109375" style="57" customWidth="1"/>
    <col min="5927" max="5927" width="13.5703125" style="57" customWidth="1"/>
    <col min="5928" max="5928" width="12" style="57" customWidth="1"/>
    <col min="5929" max="5929" width="9.28515625" style="57" customWidth="1"/>
    <col min="5930" max="5930" width="15.28515625" style="57" customWidth="1"/>
    <col min="5931" max="5931" width="9.7109375" style="57" customWidth="1"/>
    <col min="5932" max="5932" width="2.5703125" style="57" customWidth="1"/>
    <col min="5933" max="5933" width="23.85546875" style="57" customWidth="1"/>
    <col min="5934" max="6147" width="9.140625" style="57"/>
    <col min="6148" max="6148" width="6.28515625" style="57" customWidth="1"/>
    <col min="6149" max="6149" width="35.5703125" style="57" customWidth="1"/>
    <col min="6150" max="6152" width="0" style="57" hidden="1" customWidth="1"/>
    <col min="6153" max="6153" width="17.28515625" style="57" customWidth="1"/>
    <col min="6154" max="6154" width="11.28515625" style="57" customWidth="1"/>
    <col min="6155" max="6155" width="9.5703125" style="57" customWidth="1"/>
    <col min="6156" max="6161" width="0" style="57" hidden="1" customWidth="1"/>
    <col min="6162" max="6162" width="11.28515625" style="57" customWidth="1"/>
    <col min="6163" max="6163" width="11.140625" style="57" customWidth="1"/>
    <col min="6164" max="6164" width="8.140625" style="57" customWidth="1"/>
    <col min="6165" max="6165" width="9.28515625" style="57" customWidth="1"/>
    <col min="6166" max="6166" width="9" style="57" customWidth="1"/>
    <col min="6167" max="6167" width="9.28515625" style="57" customWidth="1"/>
    <col min="6168" max="6169" width="0" style="57" hidden="1" customWidth="1"/>
    <col min="6170" max="6170" width="9.140625" style="57" customWidth="1"/>
    <col min="6171" max="6171" width="10.140625" style="57" customWidth="1"/>
    <col min="6172" max="6172" width="9.140625" style="57" customWidth="1"/>
    <col min="6173" max="6179" width="9.5703125" style="57" customWidth="1"/>
    <col min="6180" max="6180" width="19.28515625" style="57" customWidth="1"/>
    <col min="6181" max="6181" width="22.140625" style="57" customWidth="1"/>
    <col min="6182" max="6182" width="16.7109375" style="57" customWidth="1"/>
    <col min="6183" max="6183" width="13.5703125" style="57" customWidth="1"/>
    <col min="6184" max="6184" width="12" style="57" customWidth="1"/>
    <col min="6185" max="6185" width="9.28515625" style="57" customWidth="1"/>
    <col min="6186" max="6186" width="15.28515625" style="57" customWidth="1"/>
    <col min="6187" max="6187" width="9.7109375" style="57" customWidth="1"/>
    <col min="6188" max="6188" width="2.5703125" style="57" customWidth="1"/>
    <col min="6189" max="6189" width="23.85546875" style="57" customWidth="1"/>
    <col min="6190" max="6403" width="9.140625" style="57"/>
    <col min="6404" max="6404" width="6.28515625" style="57" customWidth="1"/>
    <col min="6405" max="6405" width="35.5703125" style="57" customWidth="1"/>
    <col min="6406" max="6408" width="0" style="57" hidden="1" customWidth="1"/>
    <col min="6409" max="6409" width="17.28515625" style="57" customWidth="1"/>
    <col min="6410" max="6410" width="11.28515625" style="57" customWidth="1"/>
    <col min="6411" max="6411" width="9.5703125" style="57" customWidth="1"/>
    <col min="6412" max="6417" width="0" style="57" hidden="1" customWidth="1"/>
    <col min="6418" max="6418" width="11.28515625" style="57" customWidth="1"/>
    <col min="6419" max="6419" width="11.140625" style="57" customWidth="1"/>
    <col min="6420" max="6420" width="8.140625" style="57" customWidth="1"/>
    <col min="6421" max="6421" width="9.28515625" style="57" customWidth="1"/>
    <col min="6422" max="6422" width="9" style="57" customWidth="1"/>
    <col min="6423" max="6423" width="9.28515625" style="57" customWidth="1"/>
    <col min="6424" max="6425" width="0" style="57" hidden="1" customWidth="1"/>
    <col min="6426" max="6426" width="9.140625" style="57" customWidth="1"/>
    <col min="6427" max="6427" width="10.140625" style="57" customWidth="1"/>
    <col min="6428" max="6428" width="9.140625" style="57" customWidth="1"/>
    <col min="6429" max="6435" width="9.5703125" style="57" customWidth="1"/>
    <col min="6436" max="6436" width="19.28515625" style="57" customWidth="1"/>
    <col min="6437" max="6437" width="22.140625" style="57" customWidth="1"/>
    <col min="6438" max="6438" width="16.7109375" style="57" customWidth="1"/>
    <col min="6439" max="6439" width="13.5703125" style="57" customWidth="1"/>
    <col min="6440" max="6440" width="12" style="57" customWidth="1"/>
    <col min="6441" max="6441" width="9.28515625" style="57" customWidth="1"/>
    <col min="6442" max="6442" width="15.28515625" style="57" customWidth="1"/>
    <col min="6443" max="6443" width="9.7109375" style="57" customWidth="1"/>
    <col min="6444" max="6444" width="2.5703125" style="57" customWidth="1"/>
    <col min="6445" max="6445" width="23.85546875" style="57" customWidth="1"/>
    <col min="6446" max="6659" width="9.140625" style="57"/>
    <col min="6660" max="6660" width="6.28515625" style="57" customWidth="1"/>
    <col min="6661" max="6661" width="35.5703125" style="57" customWidth="1"/>
    <col min="6662" max="6664" width="0" style="57" hidden="1" customWidth="1"/>
    <col min="6665" max="6665" width="17.28515625" style="57" customWidth="1"/>
    <col min="6666" max="6666" width="11.28515625" style="57" customWidth="1"/>
    <col min="6667" max="6667" width="9.5703125" style="57" customWidth="1"/>
    <col min="6668" max="6673" width="0" style="57" hidden="1" customWidth="1"/>
    <col min="6674" max="6674" width="11.28515625" style="57" customWidth="1"/>
    <col min="6675" max="6675" width="11.140625" style="57" customWidth="1"/>
    <col min="6676" max="6676" width="8.140625" style="57" customWidth="1"/>
    <col min="6677" max="6677" width="9.28515625" style="57" customWidth="1"/>
    <col min="6678" max="6678" width="9" style="57" customWidth="1"/>
    <col min="6679" max="6679" width="9.28515625" style="57" customWidth="1"/>
    <col min="6680" max="6681" width="0" style="57" hidden="1" customWidth="1"/>
    <col min="6682" max="6682" width="9.140625" style="57" customWidth="1"/>
    <col min="6683" max="6683" width="10.140625" style="57" customWidth="1"/>
    <col min="6684" max="6684" width="9.140625" style="57" customWidth="1"/>
    <col min="6685" max="6691" width="9.5703125" style="57" customWidth="1"/>
    <col min="6692" max="6692" width="19.28515625" style="57" customWidth="1"/>
    <col min="6693" max="6693" width="22.140625" style="57" customWidth="1"/>
    <col min="6694" max="6694" width="16.7109375" style="57" customWidth="1"/>
    <col min="6695" max="6695" width="13.5703125" style="57" customWidth="1"/>
    <col min="6696" max="6696" width="12" style="57" customWidth="1"/>
    <col min="6697" max="6697" width="9.28515625" style="57" customWidth="1"/>
    <col min="6698" max="6698" width="15.28515625" style="57" customWidth="1"/>
    <col min="6699" max="6699" width="9.7109375" style="57" customWidth="1"/>
    <col min="6700" max="6700" width="2.5703125" style="57" customWidth="1"/>
    <col min="6701" max="6701" width="23.85546875" style="57" customWidth="1"/>
    <col min="6702" max="6915" width="9.140625" style="57"/>
    <col min="6916" max="6916" width="6.28515625" style="57" customWidth="1"/>
    <col min="6917" max="6917" width="35.5703125" style="57" customWidth="1"/>
    <col min="6918" max="6920" width="0" style="57" hidden="1" customWidth="1"/>
    <col min="6921" max="6921" width="17.28515625" style="57" customWidth="1"/>
    <col min="6922" max="6922" width="11.28515625" style="57" customWidth="1"/>
    <col min="6923" max="6923" width="9.5703125" style="57" customWidth="1"/>
    <col min="6924" max="6929" width="0" style="57" hidden="1" customWidth="1"/>
    <col min="6930" max="6930" width="11.28515625" style="57" customWidth="1"/>
    <col min="6931" max="6931" width="11.140625" style="57" customWidth="1"/>
    <col min="6932" max="6932" width="8.140625" style="57" customWidth="1"/>
    <col min="6933" max="6933" width="9.28515625" style="57" customWidth="1"/>
    <col min="6934" max="6934" width="9" style="57" customWidth="1"/>
    <col min="6935" max="6935" width="9.28515625" style="57" customWidth="1"/>
    <col min="6936" max="6937" width="0" style="57" hidden="1" customWidth="1"/>
    <col min="6938" max="6938" width="9.140625" style="57" customWidth="1"/>
    <col min="6939" max="6939" width="10.140625" style="57" customWidth="1"/>
    <col min="6940" max="6940" width="9.140625" style="57" customWidth="1"/>
    <col min="6941" max="6947" width="9.5703125" style="57" customWidth="1"/>
    <col min="6948" max="6948" width="19.28515625" style="57" customWidth="1"/>
    <col min="6949" max="6949" width="22.140625" style="57" customWidth="1"/>
    <col min="6950" max="6950" width="16.7109375" style="57" customWidth="1"/>
    <col min="6951" max="6951" width="13.5703125" style="57" customWidth="1"/>
    <col min="6952" max="6952" width="12" style="57" customWidth="1"/>
    <col min="6953" max="6953" width="9.28515625" style="57" customWidth="1"/>
    <col min="6954" max="6954" width="15.28515625" style="57" customWidth="1"/>
    <col min="6955" max="6955" width="9.7109375" style="57" customWidth="1"/>
    <col min="6956" max="6956" width="2.5703125" style="57" customWidth="1"/>
    <col min="6957" max="6957" width="23.85546875" style="57" customWidth="1"/>
    <col min="6958" max="7171" width="9.140625" style="57"/>
    <col min="7172" max="7172" width="6.28515625" style="57" customWidth="1"/>
    <col min="7173" max="7173" width="35.5703125" style="57" customWidth="1"/>
    <col min="7174" max="7176" width="0" style="57" hidden="1" customWidth="1"/>
    <col min="7177" max="7177" width="17.28515625" style="57" customWidth="1"/>
    <col min="7178" max="7178" width="11.28515625" style="57" customWidth="1"/>
    <col min="7179" max="7179" width="9.5703125" style="57" customWidth="1"/>
    <col min="7180" max="7185" width="0" style="57" hidden="1" customWidth="1"/>
    <col min="7186" max="7186" width="11.28515625" style="57" customWidth="1"/>
    <col min="7187" max="7187" width="11.140625" style="57" customWidth="1"/>
    <col min="7188" max="7188" width="8.140625" style="57" customWidth="1"/>
    <col min="7189" max="7189" width="9.28515625" style="57" customWidth="1"/>
    <col min="7190" max="7190" width="9" style="57" customWidth="1"/>
    <col min="7191" max="7191" width="9.28515625" style="57" customWidth="1"/>
    <col min="7192" max="7193" width="0" style="57" hidden="1" customWidth="1"/>
    <col min="7194" max="7194" width="9.140625" style="57" customWidth="1"/>
    <col min="7195" max="7195" width="10.140625" style="57" customWidth="1"/>
    <col min="7196" max="7196" width="9.140625" style="57" customWidth="1"/>
    <col min="7197" max="7203" width="9.5703125" style="57" customWidth="1"/>
    <col min="7204" max="7204" width="19.28515625" style="57" customWidth="1"/>
    <col min="7205" max="7205" width="22.140625" style="57" customWidth="1"/>
    <col min="7206" max="7206" width="16.7109375" style="57" customWidth="1"/>
    <col min="7207" max="7207" width="13.5703125" style="57" customWidth="1"/>
    <col min="7208" max="7208" width="12" style="57" customWidth="1"/>
    <col min="7209" max="7209" width="9.28515625" style="57" customWidth="1"/>
    <col min="7210" max="7210" width="15.28515625" style="57" customWidth="1"/>
    <col min="7211" max="7211" width="9.7109375" style="57" customWidth="1"/>
    <col min="7212" max="7212" width="2.5703125" style="57" customWidth="1"/>
    <col min="7213" max="7213" width="23.85546875" style="57" customWidth="1"/>
    <col min="7214" max="7427" width="9.140625" style="57"/>
    <col min="7428" max="7428" width="6.28515625" style="57" customWidth="1"/>
    <col min="7429" max="7429" width="35.5703125" style="57" customWidth="1"/>
    <col min="7430" max="7432" width="0" style="57" hidden="1" customWidth="1"/>
    <col min="7433" max="7433" width="17.28515625" style="57" customWidth="1"/>
    <col min="7434" max="7434" width="11.28515625" style="57" customWidth="1"/>
    <col min="7435" max="7435" width="9.5703125" style="57" customWidth="1"/>
    <col min="7436" max="7441" width="0" style="57" hidden="1" customWidth="1"/>
    <col min="7442" max="7442" width="11.28515625" style="57" customWidth="1"/>
    <col min="7443" max="7443" width="11.140625" style="57" customWidth="1"/>
    <col min="7444" max="7444" width="8.140625" style="57" customWidth="1"/>
    <col min="7445" max="7445" width="9.28515625" style="57" customWidth="1"/>
    <col min="7446" max="7446" width="9" style="57" customWidth="1"/>
    <col min="7447" max="7447" width="9.28515625" style="57" customWidth="1"/>
    <col min="7448" max="7449" width="0" style="57" hidden="1" customWidth="1"/>
    <col min="7450" max="7450" width="9.140625" style="57" customWidth="1"/>
    <col min="7451" max="7451" width="10.140625" style="57" customWidth="1"/>
    <col min="7452" max="7452" width="9.140625" style="57" customWidth="1"/>
    <col min="7453" max="7459" width="9.5703125" style="57" customWidth="1"/>
    <col min="7460" max="7460" width="19.28515625" style="57" customWidth="1"/>
    <col min="7461" max="7461" width="22.140625" style="57" customWidth="1"/>
    <col min="7462" max="7462" width="16.7109375" style="57" customWidth="1"/>
    <col min="7463" max="7463" width="13.5703125" style="57" customWidth="1"/>
    <col min="7464" max="7464" width="12" style="57" customWidth="1"/>
    <col min="7465" max="7465" width="9.28515625" style="57" customWidth="1"/>
    <col min="7466" max="7466" width="15.28515625" style="57" customWidth="1"/>
    <col min="7467" max="7467" width="9.7109375" style="57" customWidth="1"/>
    <col min="7468" max="7468" width="2.5703125" style="57" customWidth="1"/>
    <col min="7469" max="7469" width="23.85546875" style="57" customWidth="1"/>
    <col min="7470" max="7683" width="9.140625" style="57"/>
    <col min="7684" max="7684" width="6.28515625" style="57" customWidth="1"/>
    <col min="7685" max="7685" width="35.5703125" style="57" customWidth="1"/>
    <col min="7686" max="7688" width="0" style="57" hidden="1" customWidth="1"/>
    <col min="7689" max="7689" width="17.28515625" style="57" customWidth="1"/>
    <col min="7690" max="7690" width="11.28515625" style="57" customWidth="1"/>
    <col min="7691" max="7691" width="9.5703125" style="57" customWidth="1"/>
    <col min="7692" max="7697" width="0" style="57" hidden="1" customWidth="1"/>
    <col min="7698" max="7698" width="11.28515625" style="57" customWidth="1"/>
    <col min="7699" max="7699" width="11.140625" style="57" customWidth="1"/>
    <col min="7700" max="7700" width="8.140625" style="57" customWidth="1"/>
    <col min="7701" max="7701" width="9.28515625" style="57" customWidth="1"/>
    <col min="7702" max="7702" width="9" style="57" customWidth="1"/>
    <col min="7703" max="7703" width="9.28515625" style="57" customWidth="1"/>
    <col min="7704" max="7705" width="0" style="57" hidden="1" customWidth="1"/>
    <col min="7706" max="7706" width="9.140625" style="57" customWidth="1"/>
    <col min="7707" max="7707" width="10.140625" style="57" customWidth="1"/>
    <col min="7708" max="7708" width="9.140625" style="57" customWidth="1"/>
    <col min="7709" max="7715" width="9.5703125" style="57" customWidth="1"/>
    <col min="7716" max="7716" width="19.28515625" style="57" customWidth="1"/>
    <col min="7717" max="7717" width="22.140625" style="57" customWidth="1"/>
    <col min="7718" max="7718" width="16.7109375" style="57" customWidth="1"/>
    <col min="7719" max="7719" width="13.5703125" style="57" customWidth="1"/>
    <col min="7720" max="7720" width="12" style="57" customWidth="1"/>
    <col min="7721" max="7721" width="9.28515625" style="57" customWidth="1"/>
    <col min="7722" max="7722" width="15.28515625" style="57" customWidth="1"/>
    <col min="7723" max="7723" width="9.7109375" style="57" customWidth="1"/>
    <col min="7724" max="7724" width="2.5703125" style="57" customWidth="1"/>
    <col min="7725" max="7725" width="23.85546875" style="57" customWidth="1"/>
    <col min="7726" max="7939" width="9.140625" style="57"/>
    <col min="7940" max="7940" width="6.28515625" style="57" customWidth="1"/>
    <col min="7941" max="7941" width="35.5703125" style="57" customWidth="1"/>
    <col min="7942" max="7944" width="0" style="57" hidden="1" customWidth="1"/>
    <col min="7945" max="7945" width="17.28515625" style="57" customWidth="1"/>
    <col min="7946" max="7946" width="11.28515625" style="57" customWidth="1"/>
    <col min="7947" max="7947" width="9.5703125" style="57" customWidth="1"/>
    <col min="7948" max="7953" width="0" style="57" hidden="1" customWidth="1"/>
    <col min="7954" max="7954" width="11.28515625" style="57" customWidth="1"/>
    <col min="7955" max="7955" width="11.140625" style="57" customWidth="1"/>
    <col min="7956" max="7956" width="8.140625" style="57" customWidth="1"/>
    <col min="7957" max="7957" width="9.28515625" style="57" customWidth="1"/>
    <col min="7958" max="7958" width="9" style="57" customWidth="1"/>
    <col min="7959" max="7959" width="9.28515625" style="57" customWidth="1"/>
    <col min="7960" max="7961" width="0" style="57" hidden="1" customWidth="1"/>
    <col min="7962" max="7962" width="9.140625" style="57" customWidth="1"/>
    <col min="7963" max="7963" width="10.140625" style="57" customWidth="1"/>
    <col min="7964" max="7964" width="9.140625" style="57" customWidth="1"/>
    <col min="7965" max="7971" width="9.5703125" style="57" customWidth="1"/>
    <col min="7972" max="7972" width="19.28515625" style="57" customWidth="1"/>
    <col min="7973" max="7973" width="22.140625" style="57" customWidth="1"/>
    <col min="7974" max="7974" width="16.7109375" style="57" customWidth="1"/>
    <col min="7975" max="7975" width="13.5703125" style="57" customWidth="1"/>
    <col min="7976" max="7976" width="12" style="57" customWidth="1"/>
    <col min="7977" max="7977" width="9.28515625" style="57" customWidth="1"/>
    <col min="7978" max="7978" width="15.28515625" style="57" customWidth="1"/>
    <col min="7979" max="7979" width="9.7109375" style="57" customWidth="1"/>
    <col min="7980" max="7980" width="2.5703125" style="57" customWidth="1"/>
    <col min="7981" max="7981" width="23.85546875" style="57" customWidth="1"/>
    <col min="7982" max="8195" width="9.140625" style="57"/>
    <col min="8196" max="8196" width="6.28515625" style="57" customWidth="1"/>
    <col min="8197" max="8197" width="35.5703125" style="57" customWidth="1"/>
    <col min="8198" max="8200" width="0" style="57" hidden="1" customWidth="1"/>
    <col min="8201" max="8201" width="17.28515625" style="57" customWidth="1"/>
    <col min="8202" max="8202" width="11.28515625" style="57" customWidth="1"/>
    <col min="8203" max="8203" width="9.5703125" style="57" customWidth="1"/>
    <col min="8204" max="8209" width="0" style="57" hidden="1" customWidth="1"/>
    <col min="8210" max="8210" width="11.28515625" style="57" customWidth="1"/>
    <col min="8211" max="8211" width="11.140625" style="57" customWidth="1"/>
    <col min="8212" max="8212" width="8.140625" style="57" customWidth="1"/>
    <col min="8213" max="8213" width="9.28515625" style="57" customWidth="1"/>
    <col min="8214" max="8214" width="9" style="57" customWidth="1"/>
    <col min="8215" max="8215" width="9.28515625" style="57" customWidth="1"/>
    <col min="8216" max="8217" width="0" style="57" hidden="1" customWidth="1"/>
    <col min="8218" max="8218" width="9.140625" style="57" customWidth="1"/>
    <col min="8219" max="8219" width="10.140625" style="57" customWidth="1"/>
    <col min="8220" max="8220" width="9.140625" style="57" customWidth="1"/>
    <col min="8221" max="8227" width="9.5703125" style="57" customWidth="1"/>
    <col min="8228" max="8228" width="19.28515625" style="57" customWidth="1"/>
    <col min="8229" max="8229" width="22.140625" style="57" customWidth="1"/>
    <col min="8230" max="8230" width="16.7109375" style="57" customWidth="1"/>
    <col min="8231" max="8231" width="13.5703125" style="57" customWidth="1"/>
    <col min="8232" max="8232" width="12" style="57" customWidth="1"/>
    <col min="8233" max="8233" width="9.28515625" style="57" customWidth="1"/>
    <col min="8234" max="8234" width="15.28515625" style="57" customWidth="1"/>
    <col min="8235" max="8235" width="9.7109375" style="57" customWidth="1"/>
    <col min="8236" max="8236" width="2.5703125" style="57" customWidth="1"/>
    <col min="8237" max="8237" width="23.85546875" style="57" customWidth="1"/>
    <col min="8238" max="8451" width="9.140625" style="57"/>
    <col min="8452" max="8452" width="6.28515625" style="57" customWidth="1"/>
    <col min="8453" max="8453" width="35.5703125" style="57" customWidth="1"/>
    <col min="8454" max="8456" width="0" style="57" hidden="1" customWidth="1"/>
    <col min="8457" max="8457" width="17.28515625" style="57" customWidth="1"/>
    <col min="8458" max="8458" width="11.28515625" style="57" customWidth="1"/>
    <col min="8459" max="8459" width="9.5703125" style="57" customWidth="1"/>
    <col min="8460" max="8465" width="0" style="57" hidden="1" customWidth="1"/>
    <col min="8466" max="8466" width="11.28515625" style="57" customWidth="1"/>
    <col min="8467" max="8467" width="11.140625" style="57" customWidth="1"/>
    <col min="8468" max="8468" width="8.140625" style="57" customWidth="1"/>
    <col min="8469" max="8469" width="9.28515625" style="57" customWidth="1"/>
    <col min="8470" max="8470" width="9" style="57" customWidth="1"/>
    <col min="8471" max="8471" width="9.28515625" style="57" customWidth="1"/>
    <col min="8472" max="8473" width="0" style="57" hidden="1" customWidth="1"/>
    <col min="8474" max="8474" width="9.140625" style="57" customWidth="1"/>
    <col min="8475" max="8475" width="10.140625" style="57" customWidth="1"/>
    <col min="8476" max="8476" width="9.140625" style="57" customWidth="1"/>
    <col min="8477" max="8483" width="9.5703125" style="57" customWidth="1"/>
    <col min="8484" max="8484" width="19.28515625" style="57" customWidth="1"/>
    <col min="8485" max="8485" width="22.140625" style="57" customWidth="1"/>
    <col min="8486" max="8486" width="16.7109375" style="57" customWidth="1"/>
    <col min="8487" max="8487" width="13.5703125" style="57" customWidth="1"/>
    <col min="8488" max="8488" width="12" style="57" customWidth="1"/>
    <col min="8489" max="8489" width="9.28515625" style="57" customWidth="1"/>
    <col min="8490" max="8490" width="15.28515625" style="57" customWidth="1"/>
    <col min="8491" max="8491" width="9.7109375" style="57" customWidth="1"/>
    <col min="8492" max="8492" width="2.5703125" style="57" customWidth="1"/>
    <col min="8493" max="8493" width="23.85546875" style="57" customWidth="1"/>
    <col min="8494" max="8707" width="9.140625" style="57"/>
    <col min="8708" max="8708" width="6.28515625" style="57" customWidth="1"/>
    <col min="8709" max="8709" width="35.5703125" style="57" customWidth="1"/>
    <col min="8710" max="8712" width="0" style="57" hidden="1" customWidth="1"/>
    <col min="8713" max="8713" width="17.28515625" style="57" customWidth="1"/>
    <col min="8714" max="8714" width="11.28515625" style="57" customWidth="1"/>
    <col min="8715" max="8715" width="9.5703125" style="57" customWidth="1"/>
    <col min="8716" max="8721" width="0" style="57" hidden="1" customWidth="1"/>
    <col min="8722" max="8722" width="11.28515625" style="57" customWidth="1"/>
    <col min="8723" max="8723" width="11.140625" style="57" customWidth="1"/>
    <col min="8724" max="8724" width="8.140625" style="57" customWidth="1"/>
    <col min="8725" max="8725" width="9.28515625" style="57" customWidth="1"/>
    <col min="8726" max="8726" width="9" style="57" customWidth="1"/>
    <col min="8727" max="8727" width="9.28515625" style="57" customWidth="1"/>
    <col min="8728" max="8729" width="0" style="57" hidden="1" customWidth="1"/>
    <col min="8730" max="8730" width="9.140625" style="57" customWidth="1"/>
    <col min="8731" max="8731" width="10.140625" style="57" customWidth="1"/>
    <col min="8732" max="8732" width="9.140625" style="57" customWidth="1"/>
    <col min="8733" max="8739" width="9.5703125" style="57" customWidth="1"/>
    <col min="8740" max="8740" width="19.28515625" style="57" customWidth="1"/>
    <col min="8741" max="8741" width="22.140625" style="57" customWidth="1"/>
    <col min="8742" max="8742" width="16.7109375" style="57" customWidth="1"/>
    <col min="8743" max="8743" width="13.5703125" style="57" customWidth="1"/>
    <col min="8744" max="8744" width="12" style="57" customWidth="1"/>
    <col min="8745" max="8745" width="9.28515625" style="57" customWidth="1"/>
    <col min="8746" max="8746" width="15.28515625" style="57" customWidth="1"/>
    <col min="8747" max="8747" width="9.7109375" style="57" customWidth="1"/>
    <col min="8748" max="8748" width="2.5703125" style="57" customWidth="1"/>
    <col min="8749" max="8749" width="23.85546875" style="57" customWidth="1"/>
    <col min="8750" max="8963" width="9.140625" style="57"/>
    <col min="8964" max="8964" width="6.28515625" style="57" customWidth="1"/>
    <col min="8965" max="8965" width="35.5703125" style="57" customWidth="1"/>
    <col min="8966" max="8968" width="0" style="57" hidden="1" customWidth="1"/>
    <col min="8969" max="8969" width="17.28515625" style="57" customWidth="1"/>
    <col min="8970" max="8970" width="11.28515625" style="57" customWidth="1"/>
    <col min="8971" max="8971" width="9.5703125" style="57" customWidth="1"/>
    <col min="8972" max="8977" width="0" style="57" hidden="1" customWidth="1"/>
    <col min="8978" max="8978" width="11.28515625" style="57" customWidth="1"/>
    <col min="8979" max="8979" width="11.140625" style="57" customWidth="1"/>
    <col min="8980" max="8980" width="8.140625" style="57" customWidth="1"/>
    <col min="8981" max="8981" width="9.28515625" style="57" customWidth="1"/>
    <col min="8982" max="8982" width="9" style="57" customWidth="1"/>
    <col min="8983" max="8983" width="9.28515625" style="57" customWidth="1"/>
    <col min="8984" max="8985" width="0" style="57" hidden="1" customWidth="1"/>
    <col min="8986" max="8986" width="9.140625" style="57" customWidth="1"/>
    <col min="8987" max="8987" width="10.140625" style="57" customWidth="1"/>
    <col min="8988" max="8988" width="9.140625" style="57" customWidth="1"/>
    <col min="8989" max="8995" width="9.5703125" style="57" customWidth="1"/>
    <col min="8996" max="8996" width="19.28515625" style="57" customWidth="1"/>
    <col min="8997" max="8997" width="22.140625" style="57" customWidth="1"/>
    <col min="8998" max="8998" width="16.7109375" style="57" customWidth="1"/>
    <col min="8999" max="8999" width="13.5703125" style="57" customWidth="1"/>
    <col min="9000" max="9000" width="12" style="57" customWidth="1"/>
    <col min="9001" max="9001" width="9.28515625" style="57" customWidth="1"/>
    <col min="9002" max="9002" width="15.28515625" style="57" customWidth="1"/>
    <col min="9003" max="9003" width="9.7109375" style="57" customWidth="1"/>
    <col min="9004" max="9004" width="2.5703125" style="57" customWidth="1"/>
    <col min="9005" max="9005" width="23.85546875" style="57" customWidth="1"/>
    <col min="9006" max="9219" width="9.140625" style="57"/>
    <col min="9220" max="9220" width="6.28515625" style="57" customWidth="1"/>
    <col min="9221" max="9221" width="35.5703125" style="57" customWidth="1"/>
    <col min="9222" max="9224" width="0" style="57" hidden="1" customWidth="1"/>
    <col min="9225" max="9225" width="17.28515625" style="57" customWidth="1"/>
    <col min="9226" max="9226" width="11.28515625" style="57" customWidth="1"/>
    <col min="9227" max="9227" width="9.5703125" style="57" customWidth="1"/>
    <col min="9228" max="9233" width="0" style="57" hidden="1" customWidth="1"/>
    <col min="9234" max="9234" width="11.28515625" style="57" customWidth="1"/>
    <col min="9235" max="9235" width="11.140625" style="57" customWidth="1"/>
    <col min="9236" max="9236" width="8.140625" style="57" customWidth="1"/>
    <col min="9237" max="9237" width="9.28515625" style="57" customWidth="1"/>
    <col min="9238" max="9238" width="9" style="57" customWidth="1"/>
    <col min="9239" max="9239" width="9.28515625" style="57" customWidth="1"/>
    <col min="9240" max="9241" width="0" style="57" hidden="1" customWidth="1"/>
    <col min="9242" max="9242" width="9.140625" style="57" customWidth="1"/>
    <col min="9243" max="9243" width="10.140625" style="57" customWidth="1"/>
    <col min="9244" max="9244" width="9.140625" style="57" customWidth="1"/>
    <col min="9245" max="9251" width="9.5703125" style="57" customWidth="1"/>
    <col min="9252" max="9252" width="19.28515625" style="57" customWidth="1"/>
    <col min="9253" max="9253" width="22.140625" style="57" customWidth="1"/>
    <col min="9254" max="9254" width="16.7109375" style="57" customWidth="1"/>
    <col min="9255" max="9255" width="13.5703125" style="57" customWidth="1"/>
    <col min="9256" max="9256" width="12" style="57" customWidth="1"/>
    <col min="9257" max="9257" width="9.28515625" style="57" customWidth="1"/>
    <col min="9258" max="9258" width="15.28515625" style="57" customWidth="1"/>
    <col min="9259" max="9259" width="9.7109375" style="57" customWidth="1"/>
    <col min="9260" max="9260" width="2.5703125" style="57" customWidth="1"/>
    <col min="9261" max="9261" width="23.85546875" style="57" customWidth="1"/>
    <col min="9262" max="9475" width="9.140625" style="57"/>
    <col min="9476" max="9476" width="6.28515625" style="57" customWidth="1"/>
    <col min="9477" max="9477" width="35.5703125" style="57" customWidth="1"/>
    <col min="9478" max="9480" width="0" style="57" hidden="1" customWidth="1"/>
    <col min="9481" max="9481" width="17.28515625" style="57" customWidth="1"/>
    <col min="9482" max="9482" width="11.28515625" style="57" customWidth="1"/>
    <col min="9483" max="9483" width="9.5703125" style="57" customWidth="1"/>
    <col min="9484" max="9489" width="0" style="57" hidden="1" customWidth="1"/>
    <col min="9490" max="9490" width="11.28515625" style="57" customWidth="1"/>
    <col min="9491" max="9491" width="11.140625" style="57" customWidth="1"/>
    <col min="9492" max="9492" width="8.140625" style="57" customWidth="1"/>
    <col min="9493" max="9493" width="9.28515625" style="57" customWidth="1"/>
    <col min="9494" max="9494" width="9" style="57" customWidth="1"/>
    <col min="9495" max="9495" width="9.28515625" style="57" customWidth="1"/>
    <col min="9496" max="9497" width="0" style="57" hidden="1" customWidth="1"/>
    <col min="9498" max="9498" width="9.140625" style="57" customWidth="1"/>
    <col min="9499" max="9499" width="10.140625" style="57" customWidth="1"/>
    <col min="9500" max="9500" width="9.140625" style="57" customWidth="1"/>
    <col min="9501" max="9507" width="9.5703125" style="57" customWidth="1"/>
    <col min="9508" max="9508" width="19.28515625" style="57" customWidth="1"/>
    <col min="9509" max="9509" width="22.140625" style="57" customWidth="1"/>
    <col min="9510" max="9510" width="16.7109375" style="57" customWidth="1"/>
    <col min="9511" max="9511" width="13.5703125" style="57" customWidth="1"/>
    <col min="9512" max="9512" width="12" style="57" customWidth="1"/>
    <col min="9513" max="9513" width="9.28515625" style="57" customWidth="1"/>
    <col min="9514" max="9514" width="15.28515625" style="57" customWidth="1"/>
    <col min="9515" max="9515" width="9.7109375" style="57" customWidth="1"/>
    <col min="9516" max="9516" width="2.5703125" style="57" customWidth="1"/>
    <col min="9517" max="9517" width="23.85546875" style="57" customWidth="1"/>
    <col min="9518" max="9731" width="9.140625" style="57"/>
    <col min="9732" max="9732" width="6.28515625" style="57" customWidth="1"/>
    <col min="9733" max="9733" width="35.5703125" style="57" customWidth="1"/>
    <col min="9734" max="9736" width="0" style="57" hidden="1" customWidth="1"/>
    <col min="9737" max="9737" width="17.28515625" style="57" customWidth="1"/>
    <col min="9738" max="9738" width="11.28515625" style="57" customWidth="1"/>
    <col min="9739" max="9739" width="9.5703125" style="57" customWidth="1"/>
    <col min="9740" max="9745" width="0" style="57" hidden="1" customWidth="1"/>
    <col min="9746" max="9746" width="11.28515625" style="57" customWidth="1"/>
    <col min="9747" max="9747" width="11.140625" style="57" customWidth="1"/>
    <col min="9748" max="9748" width="8.140625" style="57" customWidth="1"/>
    <col min="9749" max="9749" width="9.28515625" style="57" customWidth="1"/>
    <col min="9750" max="9750" width="9" style="57" customWidth="1"/>
    <col min="9751" max="9751" width="9.28515625" style="57" customWidth="1"/>
    <col min="9752" max="9753" width="0" style="57" hidden="1" customWidth="1"/>
    <col min="9754" max="9754" width="9.140625" style="57" customWidth="1"/>
    <col min="9755" max="9755" width="10.140625" style="57" customWidth="1"/>
    <col min="9756" max="9756" width="9.140625" style="57" customWidth="1"/>
    <col min="9757" max="9763" width="9.5703125" style="57" customWidth="1"/>
    <col min="9764" max="9764" width="19.28515625" style="57" customWidth="1"/>
    <col min="9765" max="9765" width="22.140625" style="57" customWidth="1"/>
    <col min="9766" max="9766" width="16.7109375" style="57" customWidth="1"/>
    <col min="9767" max="9767" width="13.5703125" style="57" customWidth="1"/>
    <col min="9768" max="9768" width="12" style="57" customWidth="1"/>
    <col min="9769" max="9769" width="9.28515625" style="57" customWidth="1"/>
    <col min="9770" max="9770" width="15.28515625" style="57" customWidth="1"/>
    <col min="9771" max="9771" width="9.7109375" style="57" customWidth="1"/>
    <col min="9772" max="9772" width="2.5703125" style="57" customWidth="1"/>
    <col min="9773" max="9773" width="23.85546875" style="57" customWidth="1"/>
    <col min="9774" max="9987" width="9.140625" style="57"/>
    <col min="9988" max="9988" width="6.28515625" style="57" customWidth="1"/>
    <col min="9989" max="9989" width="35.5703125" style="57" customWidth="1"/>
    <col min="9990" max="9992" width="0" style="57" hidden="1" customWidth="1"/>
    <col min="9993" max="9993" width="17.28515625" style="57" customWidth="1"/>
    <col min="9994" max="9994" width="11.28515625" style="57" customWidth="1"/>
    <col min="9995" max="9995" width="9.5703125" style="57" customWidth="1"/>
    <col min="9996" max="10001" width="0" style="57" hidden="1" customWidth="1"/>
    <col min="10002" max="10002" width="11.28515625" style="57" customWidth="1"/>
    <col min="10003" max="10003" width="11.140625" style="57" customWidth="1"/>
    <col min="10004" max="10004" width="8.140625" style="57" customWidth="1"/>
    <col min="10005" max="10005" width="9.28515625" style="57" customWidth="1"/>
    <col min="10006" max="10006" width="9" style="57" customWidth="1"/>
    <col min="10007" max="10007" width="9.28515625" style="57" customWidth="1"/>
    <col min="10008" max="10009" width="0" style="57" hidden="1" customWidth="1"/>
    <col min="10010" max="10010" width="9.140625" style="57" customWidth="1"/>
    <col min="10011" max="10011" width="10.140625" style="57" customWidth="1"/>
    <col min="10012" max="10012" width="9.140625" style="57" customWidth="1"/>
    <col min="10013" max="10019" width="9.5703125" style="57" customWidth="1"/>
    <col min="10020" max="10020" width="19.28515625" style="57" customWidth="1"/>
    <col min="10021" max="10021" width="22.140625" style="57" customWidth="1"/>
    <col min="10022" max="10022" width="16.7109375" style="57" customWidth="1"/>
    <col min="10023" max="10023" width="13.5703125" style="57" customWidth="1"/>
    <col min="10024" max="10024" width="12" style="57" customWidth="1"/>
    <col min="10025" max="10025" width="9.28515625" style="57" customWidth="1"/>
    <col min="10026" max="10026" width="15.28515625" style="57" customWidth="1"/>
    <col min="10027" max="10027" width="9.7109375" style="57" customWidth="1"/>
    <col min="10028" max="10028" width="2.5703125" style="57" customWidth="1"/>
    <col min="10029" max="10029" width="23.85546875" style="57" customWidth="1"/>
    <col min="10030" max="10243" width="9.140625" style="57"/>
    <col min="10244" max="10244" width="6.28515625" style="57" customWidth="1"/>
    <col min="10245" max="10245" width="35.5703125" style="57" customWidth="1"/>
    <col min="10246" max="10248" width="0" style="57" hidden="1" customWidth="1"/>
    <col min="10249" max="10249" width="17.28515625" style="57" customWidth="1"/>
    <col min="10250" max="10250" width="11.28515625" style="57" customWidth="1"/>
    <col min="10251" max="10251" width="9.5703125" style="57" customWidth="1"/>
    <col min="10252" max="10257" width="0" style="57" hidden="1" customWidth="1"/>
    <col min="10258" max="10258" width="11.28515625" style="57" customWidth="1"/>
    <col min="10259" max="10259" width="11.140625" style="57" customWidth="1"/>
    <col min="10260" max="10260" width="8.140625" style="57" customWidth="1"/>
    <col min="10261" max="10261" width="9.28515625" style="57" customWidth="1"/>
    <col min="10262" max="10262" width="9" style="57" customWidth="1"/>
    <col min="10263" max="10263" width="9.28515625" style="57" customWidth="1"/>
    <col min="10264" max="10265" width="0" style="57" hidden="1" customWidth="1"/>
    <col min="10266" max="10266" width="9.140625" style="57" customWidth="1"/>
    <col min="10267" max="10267" width="10.140625" style="57" customWidth="1"/>
    <col min="10268" max="10268" width="9.140625" style="57" customWidth="1"/>
    <col min="10269" max="10275" width="9.5703125" style="57" customWidth="1"/>
    <col min="10276" max="10276" width="19.28515625" style="57" customWidth="1"/>
    <col min="10277" max="10277" width="22.140625" style="57" customWidth="1"/>
    <col min="10278" max="10278" width="16.7109375" style="57" customWidth="1"/>
    <col min="10279" max="10279" width="13.5703125" style="57" customWidth="1"/>
    <col min="10280" max="10280" width="12" style="57" customWidth="1"/>
    <col min="10281" max="10281" width="9.28515625" style="57" customWidth="1"/>
    <col min="10282" max="10282" width="15.28515625" style="57" customWidth="1"/>
    <col min="10283" max="10283" width="9.7109375" style="57" customWidth="1"/>
    <col min="10284" max="10284" width="2.5703125" style="57" customWidth="1"/>
    <col min="10285" max="10285" width="23.85546875" style="57" customWidth="1"/>
    <col min="10286" max="10499" width="9.140625" style="57"/>
    <col min="10500" max="10500" width="6.28515625" style="57" customWidth="1"/>
    <col min="10501" max="10501" width="35.5703125" style="57" customWidth="1"/>
    <col min="10502" max="10504" width="0" style="57" hidden="1" customWidth="1"/>
    <col min="10505" max="10505" width="17.28515625" style="57" customWidth="1"/>
    <col min="10506" max="10506" width="11.28515625" style="57" customWidth="1"/>
    <col min="10507" max="10507" width="9.5703125" style="57" customWidth="1"/>
    <col min="10508" max="10513" width="0" style="57" hidden="1" customWidth="1"/>
    <col min="10514" max="10514" width="11.28515625" style="57" customWidth="1"/>
    <col min="10515" max="10515" width="11.140625" style="57" customWidth="1"/>
    <col min="10516" max="10516" width="8.140625" style="57" customWidth="1"/>
    <col min="10517" max="10517" width="9.28515625" style="57" customWidth="1"/>
    <col min="10518" max="10518" width="9" style="57" customWidth="1"/>
    <col min="10519" max="10519" width="9.28515625" style="57" customWidth="1"/>
    <col min="10520" max="10521" width="0" style="57" hidden="1" customWidth="1"/>
    <col min="10522" max="10522" width="9.140625" style="57" customWidth="1"/>
    <col min="10523" max="10523" width="10.140625" style="57" customWidth="1"/>
    <col min="10524" max="10524" width="9.140625" style="57" customWidth="1"/>
    <col min="10525" max="10531" width="9.5703125" style="57" customWidth="1"/>
    <col min="10532" max="10532" width="19.28515625" style="57" customWidth="1"/>
    <col min="10533" max="10533" width="22.140625" style="57" customWidth="1"/>
    <col min="10534" max="10534" width="16.7109375" style="57" customWidth="1"/>
    <col min="10535" max="10535" width="13.5703125" style="57" customWidth="1"/>
    <col min="10536" max="10536" width="12" style="57" customWidth="1"/>
    <col min="10537" max="10537" width="9.28515625" style="57" customWidth="1"/>
    <col min="10538" max="10538" width="15.28515625" style="57" customWidth="1"/>
    <col min="10539" max="10539" width="9.7109375" style="57" customWidth="1"/>
    <col min="10540" max="10540" width="2.5703125" style="57" customWidth="1"/>
    <col min="10541" max="10541" width="23.85546875" style="57" customWidth="1"/>
    <col min="10542" max="10755" width="9.140625" style="57"/>
    <col min="10756" max="10756" width="6.28515625" style="57" customWidth="1"/>
    <col min="10757" max="10757" width="35.5703125" style="57" customWidth="1"/>
    <col min="10758" max="10760" width="0" style="57" hidden="1" customWidth="1"/>
    <col min="10761" max="10761" width="17.28515625" style="57" customWidth="1"/>
    <col min="10762" max="10762" width="11.28515625" style="57" customWidth="1"/>
    <col min="10763" max="10763" width="9.5703125" style="57" customWidth="1"/>
    <col min="10764" max="10769" width="0" style="57" hidden="1" customWidth="1"/>
    <col min="10770" max="10770" width="11.28515625" style="57" customWidth="1"/>
    <col min="10771" max="10771" width="11.140625" style="57" customWidth="1"/>
    <col min="10772" max="10772" width="8.140625" style="57" customWidth="1"/>
    <col min="10773" max="10773" width="9.28515625" style="57" customWidth="1"/>
    <col min="10774" max="10774" width="9" style="57" customWidth="1"/>
    <col min="10775" max="10775" width="9.28515625" style="57" customWidth="1"/>
    <col min="10776" max="10777" width="0" style="57" hidden="1" customWidth="1"/>
    <col min="10778" max="10778" width="9.140625" style="57" customWidth="1"/>
    <col min="10779" max="10779" width="10.140625" style="57" customWidth="1"/>
    <col min="10780" max="10780" width="9.140625" style="57" customWidth="1"/>
    <col min="10781" max="10787" width="9.5703125" style="57" customWidth="1"/>
    <col min="10788" max="10788" width="19.28515625" style="57" customWidth="1"/>
    <col min="10789" max="10789" width="22.140625" style="57" customWidth="1"/>
    <col min="10790" max="10790" width="16.7109375" style="57" customWidth="1"/>
    <col min="10791" max="10791" width="13.5703125" style="57" customWidth="1"/>
    <col min="10792" max="10792" width="12" style="57" customWidth="1"/>
    <col min="10793" max="10793" width="9.28515625" style="57" customWidth="1"/>
    <col min="10794" max="10794" width="15.28515625" style="57" customWidth="1"/>
    <col min="10795" max="10795" width="9.7109375" style="57" customWidth="1"/>
    <col min="10796" max="10796" width="2.5703125" style="57" customWidth="1"/>
    <col min="10797" max="10797" width="23.85546875" style="57" customWidth="1"/>
    <col min="10798" max="11011" width="9.140625" style="57"/>
    <col min="11012" max="11012" width="6.28515625" style="57" customWidth="1"/>
    <col min="11013" max="11013" width="35.5703125" style="57" customWidth="1"/>
    <col min="11014" max="11016" width="0" style="57" hidden="1" customWidth="1"/>
    <col min="11017" max="11017" width="17.28515625" style="57" customWidth="1"/>
    <col min="11018" max="11018" width="11.28515625" style="57" customWidth="1"/>
    <col min="11019" max="11019" width="9.5703125" style="57" customWidth="1"/>
    <col min="11020" max="11025" width="0" style="57" hidden="1" customWidth="1"/>
    <col min="11026" max="11026" width="11.28515625" style="57" customWidth="1"/>
    <col min="11027" max="11027" width="11.140625" style="57" customWidth="1"/>
    <col min="11028" max="11028" width="8.140625" style="57" customWidth="1"/>
    <col min="11029" max="11029" width="9.28515625" style="57" customWidth="1"/>
    <col min="11030" max="11030" width="9" style="57" customWidth="1"/>
    <col min="11031" max="11031" width="9.28515625" style="57" customWidth="1"/>
    <col min="11032" max="11033" width="0" style="57" hidden="1" customWidth="1"/>
    <col min="11034" max="11034" width="9.140625" style="57" customWidth="1"/>
    <col min="11035" max="11035" width="10.140625" style="57" customWidth="1"/>
    <col min="11036" max="11036" width="9.140625" style="57" customWidth="1"/>
    <col min="11037" max="11043" width="9.5703125" style="57" customWidth="1"/>
    <col min="11044" max="11044" width="19.28515625" style="57" customWidth="1"/>
    <col min="11045" max="11045" width="22.140625" style="57" customWidth="1"/>
    <col min="11046" max="11046" width="16.7109375" style="57" customWidth="1"/>
    <col min="11047" max="11047" width="13.5703125" style="57" customWidth="1"/>
    <col min="11048" max="11048" width="12" style="57" customWidth="1"/>
    <col min="11049" max="11049" width="9.28515625" style="57" customWidth="1"/>
    <col min="11050" max="11050" width="15.28515625" style="57" customWidth="1"/>
    <col min="11051" max="11051" width="9.7109375" style="57" customWidth="1"/>
    <col min="11052" max="11052" width="2.5703125" style="57" customWidth="1"/>
    <col min="11053" max="11053" width="23.85546875" style="57" customWidth="1"/>
    <col min="11054" max="11267" width="9.140625" style="57"/>
    <col min="11268" max="11268" width="6.28515625" style="57" customWidth="1"/>
    <col min="11269" max="11269" width="35.5703125" style="57" customWidth="1"/>
    <col min="11270" max="11272" width="0" style="57" hidden="1" customWidth="1"/>
    <col min="11273" max="11273" width="17.28515625" style="57" customWidth="1"/>
    <col min="11274" max="11274" width="11.28515625" style="57" customWidth="1"/>
    <col min="11275" max="11275" width="9.5703125" style="57" customWidth="1"/>
    <col min="11276" max="11281" width="0" style="57" hidden="1" customWidth="1"/>
    <col min="11282" max="11282" width="11.28515625" style="57" customWidth="1"/>
    <col min="11283" max="11283" width="11.140625" style="57" customWidth="1"/>
    <col min="11284" max="11284" width="8.140625" style="57" customWidth="1"/>
    <col min="11285" max="11285" width="9.28515625" style="57" customWidth="1"/>
    <col min="11286" max="11286" width="9" style="57" customWidth="1"/>
    <col min="11287" max="11287" width="9.28515625" style="57" customWidth="1"/>
    <col min="11288" max="11289" width="0" style="57" hidden="1" customWidth="1"/>
    <col min="11290" max="11290" width="9.140625" style="57" customWidth="1"/>
    <col min="11291" max="11291" width="10.140625" style="57" customWidth="1"/>
    <col min="11292" max="11292" width="9.140625" style="57" customWidth="1"/>
    <col min="11293" max="11299" width="9.5703125" style="57" customWidth="1"/>
    <col min="11300" max="11300" width="19.28515625" style="57" customWidth="1"/>
    <col min="11301" max="11301" width="22.140625" style="57" customWidth="1"/>
    <col min="11302" max="11302" width="16.7109375" style="57" customWidth="1"/>
    <col min="11303" max="11303" width="13.5703125" style="57" customWidth="1"/>
    <col min="11304" max="11304" width="12" style="57" customWidth="1"/>
    <col min="11305" max="11305" width="9.28515625" style="57" customWidth="1"/>
    <col min="11306" max="11306" width="15.28515625" style="57" customWidth="1"/>
    <col min="11307" max="11307" width="9.7109375" style="57" customWidth="1"/>
    <col min="11308" max="11308" width="2.5703125" style="57" customWidth="1"/>
    <col min="11309" max="11309" width="23.85546875" style="57" customWidth="1"/>
    <col min="11310" max="11523" width="9.140625" style="57"/>
    <col min="11524" max="11524" width="6.28515625" style="57" customWidth="1"/>
    <col min="11525" max="11525" width="35.5703125" style="57" customWidth="1"/>
    <col min="11526" max="11528" width="0" style="57" hidden="1" customWidth="1"/>
    <col min="11529" max="11529" width="17.28515625" style="57" customWidth="1"/>
    <col min="11530" max="11530" width="11.28515625" style="57" customWidth="1"/>
    <col min="11531" max="11531" width="9.5703125" style="57" customWidth="1"/>
    <col min="11532" max="11537" width="0" style="57" hidden="1" customWidth="1"/>
    <col min="11538" max="11538" width="11.28515625" style="57" customWidth="1"/>
    <col min="11539" max="11539" width="11.140625" style="57" customWidth="1"/>
    <col min="11540" max="11540" width="8.140625" style="57" customWidth="1"/>
    <col min="11541" max="11541" width="9.28515625" style="57" customWidth="1"/>
    <col min="11542" max="11542" width="9" style="57" customWidth="1"/>
    <col min="11543" max="11543" width="9.28515625" style="57" customWidth="1"/>
    <col min="11544" max="11545" width="0" style="57" hidden="1" customWidth="1"/>
    <col min="11546" max="11546" width="9.140625" style="57" customWidth="1"/>
    <col min="11547" max="11547" width="10.140625" style="57" customWidth="1"/>
    <col min="11548" max="11548" width="9.140625" style="57" customWidth="1"/>
    <col min="11549" max="11555" width="9.5703125" style="57" customWidth="1"/>
    <col min="11556" max="11556" width="19.28515625" style="57" customWidth="1"/>
    <col min="11557" max="11557" width="22.140625" style="57" customWidth="1"/>
    <col min="11558" max="11558" width="16.7109375" style="57" customWidth="1"/>
    <col min="11559" max="11559" width="13.5703125" style="57" customWidth="1"/>
    <col min="11560" max="11560" width="12" style="57" customWidth="1"/>
    <col min="11561" max="11561" width="9.28515625" style="57" customWidth="1"/>
    <col min="11562" max="11562" width="15.28515625" style="57" customWidth="1"/>
    <col min="11563" max="11563" width="9.7109375" style="57" customWidth="1"/>
    <col min="11564" max="11564" width="2.5703125" style="57" customWidth="1"/>
    <col min="11565" max="11565" width="23.85546875" style="57" customWidth="1"/>
    <col min="11566" max="11779" width="9.140625" style="57"/>
    <col min="11780" max="11780" width="6.28515625" style="57" customWidth="1"/>
    <col min="11781" max="11781" width="35.5703125" style="57" customWidth="1"/>
    <col min="11782" max="11784" width="0" style="57" hidden="1" customWidth="1"/>
    <col min="11785" max="11785" width="17.28515625" style="57" customWidth="1"/>
    <col min="11786" max="11786" width="11.28515625" style="57" customWidth="1"/>
    <col min="11787" max="11787" width="9.5703125" style="57" customWidth="1"/>
    <col min="11788" max="11793" width="0" style="57" hidden="1" customWidth="1"/>
    <col min="11794" max="11794" width="11.28515625" style="57" customWidth="1"/>
    <col min="11795" max="11795" width="11.140625" style="57" customWidth="1"/>
    <col min="11796" max="11796" width="8.140625" style="57" customWidth="1"/>
    <col min="11797" max="11797" width="9.28515625" style="57" customWidth="1"/>
    <col min="11798" max="11798" width="9" style="57" customWidth="1"/>
    <col min="11799" max="11799" width="9.28515625" style="57" customWidth="1"/>
    <col min="11800" max="11801" width="0" style="57" hidden="1" customWidth="1"/>
    <col min="11802" max="11802" width="9.140625" style="57" customWidth="1"/>
    <col min="11803" max="11803" width="10.140625" style="57" customWidth="1"/>
    <col min="11804" max="11804" width="9.140625" style="57" customWidth="1"/>
    <col min="11805" max="11811" width="9.5703125" style="57" customWidth="1"/>
    <col min="11812" max="11812" width="19.28515625" style="57" customWidth="1"/>
    <col min="11813" max="11813" width="22.140625" style="57" customWidth="1"/>
    <col min="11814" max="11814" width="16.7109375" style="57" customWidth="1"/>
    <col min="11815" max="11815" width="13.5703125" style="57" customWidth="1"/>
    <col min="11816" max="11816" width="12" style="57" customWidth="1"/>
    <col min="11817" max="11817" width="9.28515625" style="57" customWidth="1"/>
    <col min="11818" max="11818" width="15.28515625" style="57" customWidth="1"/>
    <col min="11819" max="11819" width="9.7109375" style="57" customWidth="1"/>
    <col min="11820" max="11820" width="2.5703125" style="57" customWidth="1"/>
    <col min="11821" max="11821" width="23.85546875" style="57" customWidth="1"/>
    <col min="11822" max="12035" width="9.140625" style="57"/>
    <col min="12036" max="12036" width="6.28515625" style="57" customWidth="1"/>
    <col min="12037" max="12037" width="35.5703125" style="57" customWidth="1"/>
    <col min="12038" max="12040" width="0" style="57" hidden="1" customWidth="1"/>
    <col min="12041" max="12041" width="17.28515625" style="57" customWidth="1"/>
    <col min="12042" max="12042" width="11.28515625" style="57" customWidth="1"/>
    <col min="12043" max="12043" width="9.5703125" style="57" customWidth="1"/>
    <col min="12044" max="12049" width="0" style="57" hidden="1" customWidth="1"/>
    <col min="12050" max="12050" width="11.28515625" style="57" customWidth="1"/>
    <col min="12051" max="12051" width="11.140625" style="57" customWidth="1"/>
    <col min="12052" max="12052" width="8.140625" style="57" customWidth="1"/>
    <col min="12053" max="12053" width="9.28515625" style="57" customWidth="1"/>
    <col min="12054" max="12054" width="9" style="57" customWidth="1"/>
    <col min="12055" max="12055" width="9.28515625" style="57" customWidth="1"/>
    <col min="12056" max="12057" width="0" style="57" hidden="1" customWidth="1"/>
    <col min="12058" max="12058" width="9.140625" style="57" customWidth="1"/>
    <col min="12059" max="12059" width="10.140625" style="57" customWidth="1"/>
    <col min="12060" max="12060" width="9.140625" style="57" customWidth="1"/>
    <col min="12061" max="12067" width="9.5703125" style="57" customWidth="1"/>
    <col min="12068" max="12068" width="19.28515625" style="57" customWidth="1"/>
    <col min="12069" max="12069" width="22.140625" style="57" customWidth="1"/>
    <col min="12070" max="12070" width="16.7109375" style="57" customWidth="1"/>
    <col min="12071" max="12071" width="13.5703125" style="57" customWidth="1"/>
    <col min="12072" max="12072" width="12" style="57" customWidth="1"/>
    <col min="12073" max="12073" width="9.28515625" style="57" customWidth="1"/>
    <col min="12074" max="12074" width="15.28515625" style="57" customWidth="1"/>
    <col min="12075" max="12075" width="9.7109375" style="57" customWidth="1"/>
    <col min="12076" max="12076" width="2.5703125" style="57" customWidth="1"/>
    <col min="12077" max="12077" width="23.85546875" style="57" customWidth="1"/>
    <col min="12078" max="12291" width="9.140625" style="57"/>
    <col min="12292" max="12292" width="6.28515625" style="57" customWidth="1"/>
    <col min="12293" max="12293" width="35.5703125" style="57" customWidth="1"/>
    <col min="12294" max="12296" width="0" style="57" hidden="1" customWidth="1"/>
    <col min="12297" max="12297" width="17.28515625" style="57" customWidth="1"/>
    <col min="12298" max="12298" width="11.28515625" style="57" customWidth="1"/>
    <col min="12299" max="12299" width="9.5703125" style="57" customWidth="1"/>
    <col min="12300" max="12305" width="0" style="57" hidden="1" customWidth="1"/>
    <col min="12306" max="12306" width="11.28515625" style="57" customWidth="1"/>
    <col min="12307" max="12307" width="11.140625" style="57" customWidth="1"/>
    <col min="12308" max="12308" width="8.140625" style="57" customWidth="1"/>
    <col min="12309" max="12309" width="9.28515625" style="57" customWidth="1"/>
    <col min="12310" max="12310" width="9" style="57" customWidth="1"/>
    <col min="12311" max="12311" width="9.28515625" style="57" customWidth="1"/>
    <col min="12312" max="12313" width="0" style="57" hidden="1" customWidth="1"/>
    <col min="12314" max="12314" width="9.140625" style="57" customWidth="1"/>
    <col min="12315" max="12315" width="10.140625" style="57" customWidth="1"/>
    <col min="12316" max="12316" width="9.140625" style="57" customWidth="1"/>
    <col min="12317" max="12323" width="9.5703125" style="57" customWidth="1"/>
    <col min="12324" max="12324" width="19.28515625" style="57" customWidth="1"/>
    <col min="12325" max="12325" width="22.140625" style="57" customWidth="1"/>
    <col min="12326" max="12326" width="16.7109375" style="57" customWidth="1"/>
    <col min="12327" max="12327" width="13.5703125" style="57" customWidth="1"/>
    <col min="12328" max="12328" width="12" style="57" customWidth="1"/>
    <col min="12329" max="12329" width="9.28515625" style="57" customWidth="1"/>
    <col min="12330" max="12330" width="15.28515625" style="57" customWidth="1"/>
    <col min="12331" max="12331" width="9.7109375" style="57" customWidth="1"/>
    <col min="12332" max="12332" width="2.5703125" style="57" customWidth="1"/>
    <col min="12333" max="12333" width="23.85546875" style="57" customWidth="1"/>
    <col min="12334" max="12547" width="9.140625" style="57"/>
    <col min="12548" max="12548" width="6.28515625" style="57" customWidth="1"/>
    <col min="12549" max="12549" width="35.5703125" style="57" customWidth="1"/>
    <col min="12550" max="12552" width="0" style="57" hidden="1" customWidth="1"/>
    <col min="12553" max="12553" width="17.28515625" style="57" customWidth="1"/>
    <col min="12554" max="12554" width="11.28515625" style="57" customWidth="1"/>
    <col min="12555" max="12555" width="9.5703125" style="57" customWidth="1"/>
    <col min="12556" max="12561" width="0" style="57" hidden="1" customWidth="1"/>
    <col min="12562" max="12562" width="11.28515625" style="57" customWidth="1"/>
    <col min="12563" max="12563" width="11.140625" style="57" customWidth="1"/>
    <col min="12564" max="12564" width="8.140625" style="57" customWidth="1"/>
    <col min="12565" max="12565" width="9.28515625" style="57" customWidth="1"/>
    <col min="12566" max="12566" width="9" style="57" customWidth="1"/>
    <col min="12567" max="12567" width="9.28515625" style="57" customWidth="1"/>
    <col min="12568" max="12569" width="0" style="57" hidden="1" customWidth="1"/>
    <col min="12570" max="12570" width="9.140625" style="57" customWidth="1"/>
    <col min="12571" max="12571" width="10.140625" style="57" customWidth="1"/>
    <col min="12572" max="12572" width="9.140625" style="57" customWidth="1"/>
    <col min="12573" max="12579" width="9.5703125" style="57" customWidth="1"/>
    <col min="12580" max="12580" width="19.28515625" style="57" customWidth="1"/>
    <col min="12581" max="12581" width="22.140625" style="57" customWidth="1"/>
    <col min="12582" max="12582" width="16.7109375" style="57" customWidth="1"/>
    <col min="12583" max="12583" width="13.5703125" style="57" customWidth="1"/>
    <col min="12584" max="12584" width="12" style="57" customWidth="1"/>
    <col min="12585" max="12585" width="9.28515625" style="57" customWidth="1"/>
    <col min="12586" max="12586" width="15.28515625" style="57" customWidth="1"/>
    <col min="12587" max="12587" width="9.7109375" style="57" customWidth="1"/>
    <col min="12588" max="12588" width="2.5703125" style="57" customWidth="1"/>
    <col min="12589" max="12589" width="23.85546875" style="57" customWidth="1"/>
    <col min="12590" max="12803" width="9.140625" style="57"/>
    <col min="12804" max="12804" width="6.28515625" style="57" customWidth="1"/>
    <col min="12805" max="12805" width="35.5703125" style="57" customWidth="1"/>
    <col min="12806" max="12808" width="0" style="57" hidden="1" customWidth="1"/>
    <col min="12809" max="12809" width="17.28515625" style="57" customWidth="1"/>
    <col min="12810" max="12810" width="11.28515625" style="57" customWidth="1"/>
    <col min="12811" max="12811" width="9.5703125" style="57" customWidth="1"/>
    <col min="12812" max="12817" width="0" style="57" hidden="1" customWidth="1"/>
    <col min="12818" max="12818" width="11.28515625" style="57" customWidth="1"/>
    <col min="12819" max="12819" width="11.140625" style="57" customWidth="1"/>
    <col min="12820" max="12820" width="8.140625" style="57" customWidth="1"/>
    <col min="12821" max="12821" width="9.28515625" style="57" customWidth="1"/>
    <col min="12822" max="12822" width="9" style="57" customWidth="1"/>
    <col min="12823" max="12823" width="9.28515625" style="57" customWidth="1"/>
    <col min="12824" max="12825" width="0" style="57" hidden="1" customWidth="1"/>
    <col min="12826" max="12826" width="9.140625" style="57" customWidth="1"/>
    <col min="12827" max="12827" width="10.140625" style="57" customWidth="1"/>
    <col min="12828" max="12828" width="9.140625" style="57" customWidth="1"/>
    <col min="12829" max="12835" width="9.5703125" style="57" customWidth="1"/>
    <col min="12836" max="12836" width="19.28515625" style="57" customWidth="1"/>
    <col min="12837" max="12837" width="22.140625" style="57" customWidth="1"/>
    <col min="12838" max="12838" width="16.7109375" style="57" customWidth="1"/>
    <col min="12839" max="12839" width="13.5703125" style="57" customWidth="1"/>
    <col min="12840" max="12840" width="12" style="57" customWidth="1"/>
    <col min="12841" max="12841" width="9.28515625" style="57" customWidth="1"/>
    <col min="12842" max="12842" width="15.28515625" style="57" customWidth="1"/>
    <col min="12843" max="12843" width="9.7109375" style="57" customWidth="1"/>
    <col min="12844" max="12844" width="2.5703125" style="57" customWidth="1"/>
    <col min="12845" max="12845" width="23.85546875" style="57" customWidth="1"/>
    <col min="12846" max="13059" width="9.140625" style="57"/>
    <col min="13060" max="13060" width="6.28515625" style="57" customWidth="1"/>
    <col min="13061" max="13061" width="35.5703125" style="57" customWidth="1"/>
    <col min="13062" max="13064" width="0" style="57" hidden="1" customWidth="1"/>
    <col min="13065" max="13065" width="17.28515625" style="57" customWidth="1"/>
    <col min="13066" max="13066" width="11.28515625" style="57" customWidth="1"/>
    <col min="13067" max="13067" width="9.5703125" style="57" customWidth="1"/>
    <col min="13068" max="13073" width="0" style="57" hidden="1" customWidth="1"/>
    <col min="13074" max="13074" width="11.28515625" style="57" customWidth="1"/>
    <col min="13075" max="13075" width="11.140625" style="57" customWidth="1"/>
    <col min="13076" max="13076" width="8.140625" style="57" customWidth="1"/>
    <col min="13077" max="13077" width="9.28515625" style="57" customWidth="1"/>
    <col min="13078" max="13078" width="9" style="57" customWidth="1"/>
    <col min="13079" max="13079" width="9.28515625" style="57" customWidth="1"/>
    <col min="13080" max="13081" width="0" style="57" hidden="1" customWidth="1"/>
    <col min="13082" max="13082" width="9.140625" style="57" customWidth="1"/>
    <col min="13083" max="13083" width="10.140625" style="57" customWidth="1"/>
    <col min="13084" max="13084" width="9.140625" style="57" customWidth="1"/>
    <col min="13085" max="13091" width="9.5703125" style="57" customWidth="1"/>
    <col min="13092" max="13092" width="19.28515625" style="57" customWidth="1"/>
    <col min="13093" max="13093" width="22.140625" style="57" customWidth="1"/>
    <col min="13094" max="13094" width="16.7109375" style="57" customWidth="1"/>
    <col min="13095" max="13095" width="13.5703125" style="57" customWidth="1"/>
    <col min="13096" max="13096" width="12" style="57" customWidth="1"/>
    <col min="13097" max="13097" width="9.28515625" style="57" customWidth="1"/>
    <col min="13098" max="13098" width="15.28515625" style="57" customWidth="1"/>
    <col min="13099" max="13099" width="9.7109375" style="57" customWidth="1"/>
    <col min="13100" max="13100" width="2.5703125" style="57" customWidth="1"/>
    <col min="13101" max="13101" width="23.85546875" style="57" customWidth="1"/>
    <col min="13102" max="13315" width="9.140625" style="57"/>
    <col min="13316" max="13316" width="6.28515625" style="57" customWidth="1"/>
    <col min="13317" max="13317" width="35.5703125" style="57" customWidth="1"/>
    <col min="13318" max="13320" width="0" style="57" hidden="1" customWidth="1"/>
    <col min="13321" max="13321" width="17.28515625" style="57" customWidth="1"/>
    <col min="13322" max="13322" width="11.28515625" style="57" customWidth="1"/>
    <col min="13323" max="13323" width="9.5703125" style="57" customWidth="1"/>
    <col min="13324" max="13329" width="0" style="57" hidden="1" customWidth="1"/>
    <col min="13330" max="13330" width="11.28515625" style="57" customWidth="1"/>
    <col min="13331" max="13331" width="11.140625" style="57" customWidth="1"/>
    <col min="13332" max="13332" width="8.140625" style="57" customWidth="1"/>
    <col min="13333" max="13333" width="9.28515625" style="57" customWidth="1"/>
    <col min="13334" max="13334" width="9" style="57" customWidth="1"/>
    <col min="13335" max="13335" width="9.28515625" style="57" customWidth="1"/>
    <col min="13336" max="13337" width="0" style="57" hidden="1" customWidth="1"/>
    <col min="13338" max="13338" width="9.140625" style="57" customWidth="1"/>
    <col min="13339" max="13339" width="10.140625" style="57" customWidth="1"/>
    <col min="13340" max="13340" width="9.140625" style="57" customWidth="1"/>
    <col min="13341" max="13347" width="9.5703125" style="57" customWidth="1"/>
    <col min="13348" max="13348" width="19.28515625" style="57" customWidth="1"/>
    <col min="13349" max="13349" width="22.140625" style="57" customWidth="1"/>
    <col min="13350" max="13350" width="16.7109375" style="57" customWidth="1"/>
    <col min="13351" max="13351" width="13.5703125" style="57" customWidth="1"/>
    <col min="13352" max="13352" width="12" style="57" customWidth="1"/>
    <col min="13353" max="13353" width="9.28515625" style="57" customWidth="1"/>
    <col min="13354" max="13354" width="15.28515625" style="57" customWidth="1"/>
    <col min="13355" max="13355" width="9.7109375" style="57" customWidth="1"/>
    <col min="13356" max="13356" width="2.5703125" style="57" customWidth="1"/>
    <col min="13357" max="13357" width="23.85546875" style="57" customWidth="1"/>
    <col min="13358" max="13571" width="9.140625" style="57"/>
    <col min="13572" max="13572" width="6.28515625" style="57" customWidth="1"/>
    <col min="13573" max="13573" width="35.5703125" style="57" customWidth="1"/>
    <col min="13574" max="13576" width="0" style="57" hidden="1" customWidth="1"/>
    <col min="13577" max="13577" width="17.28515625" style="57" customWidth="1"/>
    <col min="13578" max="13578" width="11.28515625" style="57" customWidth="1"/>
    <col min="13579" max="13579" width="9.5703125" style="57" customWidth="1"/>
    <col min="13580" max="13585" width="0" style="57" hidden="1" customWidth="1"/>
    <col min="13586" max="13586" width="11.28515625" style="57" customWidth="1"/>
    <col min="13587" max="13587" width="11.140625" style="57" customWidth="1"/>
    <col min="13588" max="13588" width="8.140625" style="57" customWidth="1"/>
    <col min="13589" max="13589" width="9.28515625" style="57" customWidth="1"/>
    <col min="13590" max="13590" width="9" style="57" customWidth="1"/>
    <col min="13591" max="13591" width="9.28515625" style="57" customWidth="1"/>
    <col min="13592" max="13593" width="0" style="57" hidden="1" customWidth="1"/>
    <col min="13594" max="13594" width="9.140625" style="57" customWidth="1"/>
    <col min="13595" max="13595" width="10.140625" style="57" customWidth="1"/>
    <col min="13596" max="13596" width="9.140625" style="57" customWidth="1"/>
    <col min="13597" max="13603" width="9.5703125" style="57" customWidth="1"/>
    <col min="13604" max="13604" width="19.28515625" style="57" customWidth="1"/>
    <col min="13605" max="13605" width="22.140625" style="57" customWidth="1"/>
    <col min="13606" max="13606" width="16.7109375" style="57" customWidth="1"/>
    <col min="13607" max="13607" width="13.5703125" style="57" customWidth="1"/>
    <col min="13608" max="13608" width="12" style="57" customWidth="1"/>
    <col min="13609" max="13609" width="9.28515625" style="57" customWidth="1"/>
    <col min="13610" max="13610" width="15.28515625" style="57" customWidth="1"/>
    <col min="13611" max="13611" width="9.7109375" style="57" customWidth="1"/>
    <col min="13612" max="13612" width="2.5703125" style="57" customWidth="1"/>
    <col min="13613" max="13613" width="23.85546875" style="57" customWidth="1"/>
    <col min="13614" max="13827" width="9.140625" style="57"/>
    <col min="13828" max="13828" width="6.28515625" style="57" customWidth="1"/>
    <col min="13829" max="13829" width="35.5703125" style="57" customWidth="1"/>
    <col min="13830" max="13832" width="0" style="57" hidden="1" customWidth="1"/>
    <col min="13833" max="13833" width="17.28515625" style="57" customWidth="1"/>
    <col min="13834" max="13834" width="11.28515625" style="57" customWidth="1"/>
    <col min="13835" max="13835" width="9.5703125" style="57" customWidth="1"/>
    <col min="13836" max="13841" width="0" style="57" hidden="1" customWidth="1"/>
    <col min="13842" max="13842" width="11.28515625" style="57" customWidth="1"/>
    <col min="13843" max="13843" width="11.140625" style="57" customWidth="1"/>
    <col min="13844" max="13844" width="8.140625" style="57" customWidth="1"/>
    <col min="13845" max="13845" width="9.28515625" style="57" customWidth="1"/>
    <col min="13846" max="13846" width="9" style="57" customWidth="1"/>
    <col min="13847" max="13847" width="9.28515625" style="57" customWidth="1"/>
    <col min="13848" max="13849" width="0" style="57" hidden="1" customWidth="1"/>
    <col min="13850" max="13850" width="9.140625" style="57" customWidth="1"/>
    <col min="13851" max="13851" width="10.140625" style="57" customWidth="1"/>
    <col min="13852" max="13852" width="9.140625" style="57" customWidth="1"/>
    <col min="13853" max="13859" width="9.5703125" style="57" customWidth="1"/>
    <col min="13860" max="13860" width="19.28515625" style="57" customWidth="1"/>
    <col min="13861" max="13861" width="22.140625" style="57" customWidth="1"/>
    <col min="13862" max="13862" width="16.7109375" style="57" customWidth="1"/>
    <col min="13863" max="13863" width="13.5703125" style="57" customWidth="1"/>
    <col min="13864" max="13864" width="12" style="57" customWidth="1"/>
    <col min="13865" max="13865" width="9.28515625" style="57" customWidth="1"/>
    <col min="13866" max="13866" width="15.28515625" style="57" customWidth="1"/>
    <col min="13867" max="13867" width="9.7109375" style="57" customWidth="1"/>
    <col min="13868" max="13868" width="2.5703125" style="57" customWidth="1"/>
    <col min="13869" max="13869" width="23.85546875" style="57" customWidth="1"/>
    <col min="13870" max="14083" width="9.140625" style="57"/>
    <col min="14084" max="14084" width="6.28515625" style="57" customWidth="1"/>
    <col min="14085" max="14085" width="35.5703125" style="57" customWidth="1"/>
    <col min="14086" max="14088" width="0" style="57" hidden="1" customWidth="1"/>
    <col min="14089" max="14089" width="17.28515625" style="57" customWidth="1"/>
    <col min="14090" max="14090" width="11.28515625" style="57" customWidth="1"/>
    <col min="14091" max="14091" width="9.5703125" style="57" customWidth="1"/>
    <col min="14092" max="14097" width="0" style="57" hidden="1" customWidth="1"/>
    <col min="14098" max="14098" width="11.28515625" style="57" customWidth="1"/>
    <col min="14099" max="14099" width="11.140625" style="57" customWidth="1"/>
    <col min="14100" max="14100" width="8.140625" style="57" customWidth="1"/>
    <col min="14101" max="14101" width="9.28515625" style="57" customWidth="1"/>
    <col min="14102" max="14102" width="9" style="57" customWidth="1"/>
    <col min="14103" max="14103" width="9.28515625" style="57" customWidth="1"/>
    <col min="14104" max="14105" width="0" style="57" hidden="1" customWidth="1"/>
    <col min="14106" max="14106" width="9.140625" style="57" customWidth="1"/>
    <col min="14107" max="14107" width="10.140625" style="57" customWidth="1"/>
    <col min="14108" max="14108" width="9.140625" style="57" customWidth="1"/>
    <col min="14109" max="14115" width="9.5703125" style="57" customWidth="1"/>
    <col min="14116" max="14116" width="19.28515625" style="57" customWidth="1"/>
    <col min="14117" max="14117" width="22.140625" style="57" customWidth="1"/>
    <col min="14118" max="14118" width="16.7109375" style="57" customWidth="1"/>
    <col min="14119" max="14119" width="13.5703125" style="57" customWidth="1"/>
    <col min="14120" max="14120" width="12" style="57" customWidth="1"/>
    <col min="14121" max="14121" width="9.28515625" style="57" customWidth="1"/>
    <col min="14122" max="14122" width="15.28515625" style="57" customWidth="1"/>
    <col min="14123" max="14123" width="9.7109375" style="57" customWidth="1"/>
    <col min="14124" max="14124" width="2.5703125" style="57" customWidth="1"/>
    <col min="14125" max="14125" width="23.85546875" style="57" customWidth="1"/>
    <col min="14126" max="14339" width="9.140625" style="57"/>
    <col min="14340" max="14340" width="6.28515625" style="57" customWidth="1"/>
    <col min="14341" max="14341" width="35.5703125" style="57" customWidth="1"/>
    <col min="14342" max="14344" width="0" style="57" hidden="1" customWidth="1"/>
    <col min="14345" max="14345" width="17.28515625" style="57" customWidth="1"/>
    <col min="14346" max="14346" width="11.28515625" style="57" customWidth="1"/>
    <col min="14347" max="14347" width="9.5703125" style="57" customWidth="1"/>
    <col min="14348" max="14353" width="0" style="57" hidden="1" customWidth="1"/>
    <col min="14354" max="14354" width="11.28515625" style="57" customWidth="1"/>
    <col min="14355" max="14355" width="11.140625" style="57" customWidth="1"/>
    <col min="14356" max="14356" width="8.140625" style="57" customWidth="1"/>
    <col min="14357" max="14357" width="9.28515625" style="57" customWidth="1"/>
    <col min="14358" max="14358" width="9" style="57" customWidth="1"/>
    <col min="14359" max="14359" width="9.28515625" style="57" customWidth="1"/>
    <col min="14360" max="14361" width="0" style="57" hidden="1" customWidth="1"/>
    <col min="14362" max="14362" width="9.140625" style="57" customWidth="1"/>
    <col min="14363" max="14363" width="10.140625" style="57" customWidth="1"/>
    <col min="14364" max="14364" width="9.140625" style="57" customWidth="1"/>
    <col min="14365" max="14371" width="9.5703125" style="57" customWidth="1"/>
    <col min="14372" max="14372" width="19.28515625" style="57" customWidth="1"/>
    <col min="14373" max="14373" width="22.140625" style="57" customWidth="1"/>
    <col min="14374" max="14374" width="16.7109375" style="57" customWidth="1"/>
    <col min="14375" max="14375" width="13.5703125" style="57" customWidth="1"/>
    <col min="14376" max="14376" width="12" style="57" customWidth="1"/>
    <col min="14377" max="14377" width="9.28515625" style="57" customWidth="1"/>
    <col min="14378" max="14378" width="15.28515625" style="57" customWidth="1"/>
    <col min="14379" max="14379" width="9.7109375" style="57" customWidth="1"/>
    <col min="14380" max="14380" width="2.5703125" style="57" customWidth="1"/>
    <col min="14381" max="14381" width="23.85546875" style="57" customWidth="1"/>
    <col min="14382" max="14595" width="9.140625" style="57"/>
    <col min="14596" max="14596" width="6.28515625" style="57" customWidth="1"/>
    <col min="14597" max="14597" width="35.5703125" style="57" customWidth="1"/>
    <col min="14598" max="14600" width="0" style="57" hidden="1" customWidth="1"/>
    <col min="14601" max="14601" width="17.28515625" style="57" customWidth="1"/>
    <col min="14602" max="14602" width="11.28515625" style="57" customWidth="1"/>
    <col min="14603" max="14603" width="9.5703125" style="57" customWidth="1"/>
    <col min="14604" max="14609" width="0" style="57" hidden="1" customWidth="1"/>
    <col min="14610" max="14610" width="11.28515625" style="57" customWidth="1"/>
    <col min="14611" max="14611" width="11.140625" style="57" customWidth="1"/>
    <col min="14612" max="14612" width="8.140625" style="57" customWidth="1"/>
    <col min="14613" max="14613" width="9.28515625" style="57" customWidth="1"/>
    <col min="14614" max="14614" width="9" style="57" customWidth="1"/>
    <col min="14615" max="14615" width="9.28515625" style="57" customWidth="1"/>
    <col min="14616" max="14617" width="0" style="57" hidden="1" customWidth="1"/>
    <col min="14618" max="14618" width="9.140625" style="57" customWidth="1"/>
    <col min="14619" max="14619" width="10.140625" style="57" customWidth="1"/>
    <col min="14620" max="14620" width="9.140625" style="57" customWidth="1"/>
    <col min="14621" max="14627" width="9.5703125" style="57" customWidth="1"/>
    <col min="14628" max="14628" width="19.28515625" style="57" customWidth="1"/>
    <col min="14629" max="14629" width="22.140625" style="57" customWidth="1"/>
    <col min="14630" max="14630" width="16.7109375" style="57" customWidth="1"/>
    <col min="14631" max="14631" width="13.5703125" style="57" customWidth="1"/>
    <col min="14632" max="14632" width="12" style="57" customWidth="1"/>
    <col min="14633" max="14633" width="9.28515625" style="57" customWidth="1"/>
    <col min="14634" max="14634" width="15.28515625" style="57" customWidth="1"/>
    <col min="14635" max="14635" width="9.7109375" style="57" customWidth="1"/>
    <col min="14636" max="14636" width="2.5703125" style="57" customWidth="1"/>
    <col min="14637" max="14637" width="23.85546875" style="57" customWidth="1"/>
    <col min="14638" max="14851" width="9.140625" style="57"/>
    <col min="14852" max="14852" width="6.28515625" style="57" customWidth="1"/>
    <col min="14853" max="14853" width="35.5703125" style="57" customWidth="1"/>
    <col min="14854" max="14856" width="0" style="57" hidden="1" customWidth="1"/>
    <col min="14857" max="14857" width="17.28515625" style="57" customWidth="1"/>
    <col min="14858" max="14858" width="11.28515625" style="57" customWidth="1"/>
    <col min="14859" max="14859" width="9.5703125" style="57" customWidth="1"/>
    <col min="14860" max="14865" width="0" style="57" hidden="1" customWidth="1"/>
    <col min="14866" max="14866" width="11.28515625" style="57" customWidth="1"/>
    <col min="14867" max="14867" width="11.140625" style="57" customWidth="1"/>
    <col min="14868" max="14868" width="8.140625" style="57" customWidth="1"/>
    <col min="14869" max="14869" width="9.28515625" style="57" customWidth="1"/>
    <col min="14870" max="14870" width="9" style="57" customWidth="1"/>
    <col min="14871" max="14871" width="9.28515625" style="57" customWidth="1"/>
    <col min="14872" max="14873" width="0" style="57" hidden="1" customWidth="1"/>
    <col min="14874" max="14874" width="9.140625" style="57" customWidth="1"/>
    <col min="14875" max="14875" width="10.140625" style="57" customWidth="1"/>
    <col min="14876" max="14876" width="9.140625" style="57" customWidth="1"/>
    <col min="14877" max="14883" width="9.5703125" style="57" customWidth="1"/>
    <col min="14884" max="14884" width="19.28515625" style="57" customWidth="1"/>
    <col min="14885" max="14885" width="22.140625" style="57" customWidth="1"/>
    <col min="14886" max="14886" width="16.7109375" style="57" customWidth="1"/>
    <col min="14887" max="14887" width="13.5703125" style="57" customWidth="1"/>
    <col min="14888" max="14888" width="12" style="57" customWidth="1"/>
    <col min="14889" max="14889" width="9.28515625" style="57" customWidth="1"/>
    <col min="14890" max="14890" width="15.28515625" style="57" customWidth="1"/>
    <col min="14891" max="14891" width="9.7109375" style="57" customWidth="1"/>
    <col min="14892" max="14892" width="2.5703125" style="57" customWidth="1"/>
    <col min="14893" max="14893" width="23.85546875" style="57" customWidth="1"/>
    <col min="14894" max="15107" width="9.140625" style="57"/>
    <col min="15108" max="15108" width="6.28515625" style="57" customWidth="1"/>
    <col min="15109" max="15109" width="35.5703125" style="57" customWidth="1"/>
    <col min="15110" max="15112" width="0" style="57" hidden="1" customWidth="1"/>
    <col min="15113" max="15113" width="17.28515625" style="57" customWidth="1"/>
    <col min="15114" max="15114" width="11.28515625" style="57" customWidth="1"/>
    <col min="15115" max="15115" width="9.5703125" style="57" customWidth="1"/>
    <col min="15116" max="15121" width="0" style="57" hidden="1" customWidth="1"/>
    <col min="15122" max="15122" width="11.28515625" style="57" customWidth="1"/>
    <col min="15123" max="15123" width="11.140625" style="57" customWidth="1"/>
    <col min="15124" max="15124" width="8.140625" style="57" customWidth="1"/>
    <col min="15125" max="15125" width="9.28515625" style="57" customWidth="1"/>
    <col min="15126" max="15126" width="9" style="57" customWidth="1"/>
    <col min="15127" max="15127" width="9.28515625" style="57" customWidth="1"/>
    <col min="15128" max="15129" width="0" style="57" hidden="1" customWidth="1"/>
    <col min="15130" max="15130" width="9.140625" style="57" customWidth="1"/>
    <col min="15131" max="15131" width="10.140625" style="57" customWidth="1"/>
    <col min="15132" max="15132" width="9.140625" style="57" customWidth="1"/>
    <col min="15133" max="15139" width="9.5703125" style="57" customWidth="1"/>
    <col min="15140" max="15140" width="19.28515625" style="57" customWidth="1"/>
    <col min="15141" max="15141" width="22.140625" style="57" customWidth="1"/>
    <col min="15142" max="15142" width="16.7109375" style="57" customWidth="1"/>
    <col min="15143" max="15143" width="13.5703125" style="57" customWidth="1"/>
    <col min="15144" max="15144" width="12" style="57" customWidth="1"/>
    <col min="15145" max="15145" width="9.28515625" style="57" customWidth="1"/>
    <col min="15146" max="15146" width="15.28515625" style="57" customWidth="1"/>
    <col min="15147" max="15147" width="9.7109375" style="57" customWidth="1"/>
    <col min="15148" max="15148" width="2.5703125" style="57" customWidth="1"/>
    <col min="15149" max="15149" width="23.85546875" style="57" customWidth="1"/>
    <col min="15150" max="15363" width="9.140625" style="57"/>
    <col min="15364" max="15364" width="6.28515625" style="57" customWidth="1"/>
    <col min="15365" max="15365" width="35.5703125" style="57" customWidth="1"/>
    <col min="15366" max="15368" width="0" style="57" hidden="1" customWidth="1"/>
    <col min="15369" max="15369" width="17.28515625" style="57" customWidth="1"/>
    <col min="15370" max="15370" width="11.28515625" style="57" customWidth="1"/>
    <col min="15371" max="15371" width="9.5703125" style="57" customWidth="1"/>
    <col min="15372" max="15377" width="0" style="57" hidden="1" customWidth="1"/>
    <col min="15378" max="15378" width="11.28515625" style="57" customWidth="1"/>
    <col min="15379" max="15379" width="11.140625" style="57" customWidth="1"/>
    <col min="15380" max="15380" width="8.140625" style="57" customWidth="1"/>
    <col min="15381" max="15381" width="9.28515625" style="57" customWidth="1"/>
    <col min="15382" max="15382" width="9" style="57" customWidth="1"/>
    <col min="15383" max="15383" width="9.28515625" style="57" customWidth="1"/>
    <col min="15384" max="15385" width="0" style="57" hidden="1" customWidth="1"/>
    <col min="15386" max="15386" width="9.140625" style="57" customWidth="1"/>
    <col min="15387" max="15387" width="10.140625" style="57" customWidth="1"/>
    <col min="15388" max="15388" width="9.140625" style="57" customWidth="1"/>
    <col min="15389" max="15395" width="9.5703125" style="57" customWidth="1"/>
    <col min="15396" max="15396" width="19.28515625" style="57" customWidth="1"/>
    <col min="15397" max="15397" width="22.140625" style="57" customWidth="1"/>
    <col min="15398" max="15398" width="16.7109375" style="57" customWidth="1"/>
    <col min="15399" max="15399" width="13.5703125" style="57" customWidth="1"/>
    <col min="15400" max="15400" width="12" style="57" customWidth="1"/>
    <col min="15401" max="15401" width="9.28515625" style="57" customWidth="1"/>
    <col min="15402" max="15402" width="15.28515625" style="57" customWidth="1"/>
    <col min="15403" max="15403" width="9.7109375" style="57" customWidth="1"/>
    <col min="15404" max="15404" width="2.5703125" style="57" customWidth="1"/>
    <col min="15405" max="15405" width="23.85546875" style="57" customWidth="1"/>
    <col min="15406" max="15619" width="9.140625" style="57"/>
    <col min="15620" max="15620" width="6.28515625" style="57" customWidth="1"/>
    <col min="15621" max="15621" width="35.5703125" style="57" customWidth="1"/>
    <col min="15622" max="15624" width="0" style="57" hidden="1" customWidth="1"/>
    <col min="15625" max="15625" width="17.28515625" style="57" customWidth="1"/>
    <col min="15626" max="15626" width="11.28515625" style="57" customWidth="1"/>
    <col min="15627" max="15627" width="9.5703125" style="57" customWidth="1"/>
    <col min="15628" max="15633" width="0" style="57" hidden="1" customWidth="1"/>
    <col min="15634" max="15634" width="11.28515625" style="57" customWidth="1"/>
    <col min="15635" max="15635" width="11.140625" style="57" customWidth="1"/>
    <col min="15636" max="15636" width="8.140625" style="57" customWidth="1"/>
    <col min="15637" max="15637" width="9.28515625" style="57" customWidth="1"/>
    <col min="15638" max="15638" width="9" style="57" customWidth="1"/>
    <col min="15639" max="15639" width="9.28515625" style="57" customWidth="1"/>
    <col min="15640" max="15641" width="0" style="57" hidden="1" customWidth="1"/>
    <col min="15642" max="15642" width="9.140625" style="57" customWidth="1"/>
    <col min="15643" max="15643" width="10.140625" style="57" customWidth="1"/>
    <col min="15644" max="15644" width="9.140625" style="57" customWidth="1"/>
    <col min="15645" max="15651" width="9.5703125" style="57" customWidth="1"/>
    <col min="15652" max="15652" width="19.28515625" style="57" customWidth="1"/>
    <col min="15653" max="15653" width="22.140625" style="57" customWidth="1"/>
    <col min="15654" max="15654" width="16.7109375" style="57" customWidth="1"/>
    <col min="15655" max="15655" width="13.5703125" style="57" customWidth="1"/>
    <col min="15656" max="15656" width="12" style="57" customWidth="1"/>
    <col min="15657" max="15657" width="9.28515625" style="57" customWidth="1"/>
    <col min="15658" max="15658" width="15.28515625" style="57" customWidth="1"/>
    <col min="15659" max="15659" width="9.7109375" style="57" customWidth="1"/>
    <col min="15660" max="15660" width="2.5703125" style="57" customWidth="1"/>
    <col min="15661" max="15661" width="23.85546875" style="57" customWidth="1"/>
    <col min="15662" max="15875" width="9.140625" style="57"/>
    <col min="15876" max="15876" width="6.28515625" style="57" customWidth="1"/>
    <col min="15877" max="15877" width="35.5703125" style="57" customWidth="1"/>
    <col min="15878" max="15880" width="0" style="57" hidden="1" customWidth="1"/>
    <col min="15881" max="15881" width="17.28515625" style="57" customWidth="1"/>
    <col min="15882" max="15882" width="11.28515625" style="57" customWidth="1"/>
    <col min="15883" max="15883" width="9.5703125" style="57" customWidth="1"/>
    <col min="15884" max="15889" width="0" style="57" hidden="1" customWidth="1"/>
    <col min="15890" max="15890" width="11.28515625" style="57" customWidth="1"/>
    <col min="15891" max="15891" width="11.140625" style="57" customWidth="1"/>
    <col min="15892" max="15892" width="8.140625" style="57" customWidth="1"/>
    <col min="15893" max="15893" width="9.28515625" style="57" customWidth="1"/>
    <col min="15894" max="15894" width="9" style="57" customWidth="1"/>
    <col min="15895" max="15895" width="9.28515625" style="57" customWidth="1"/>
    <col min="15896" max="15897" width="0" style="57" hidden="1" customWidth="1"/>
    <col min="15898" max="15898" width="9.140625" style="57" customWidth="1"/>
    <col min="15899" max="15899" width="10.140625" style="57" customWidth="1"/>
    <col min="15900" max="15900" width="9.140625" style="57" customWidth="1"/>
    <col min="15901" max="15907" width="9.5703125" style="57" customWidth="1"/>
    <col min="15908" max="15908" width="19.28515625" style="57" customWidth="1"/>
    <col min="15909" max="15909" width="22.140625" style="57" customWidth="1"/>
    <col min="15910" max="15910" width="16.7109375" style="57" customWidth="1"/>
    <col min="15911" max="15911" width="13.5703125" style="57" customWidth="1"/>
    <col min="15912" max="15912" width="12" style="57" customWidth="1"/>
    <col min="15913" max="15913" width="9.28515625" style="57" customWidth="1"/>
    <col min="15914" max="15914" width="15.28515625" style="57" customWidth="1"/>
    <col min="15915" max="15915" width="9.7109375" style="57" customWidth="1"/>
    <col min="15916" max="15916" width="2.5703125" style="57" customWidth="1"/>
    <col min="15917" max="15917" width="23.85546875" style="57" customWidth="1"/>
    <col min="15918" max="16131" width="9.140625" style="57"/>
    <col min="16132" max="16132" width="6.28515625" style="57" customWidth="1"/>
    <col min="16133" max="16133" width="35.5703125" style="57" customWidth="1"/>
    <col min="16134" max="16136" width="0" style="57" hidden="1" customWidth="1"/>
    <col min="16137" max="16137" width="17.28515625" style="57" customWidth="1"/>
    <col min="16138" max="16138" width="11.28515625" style="57" customWidth="1"/>
    <col min="16139" max="16139" width="9.5703125" style="57" customWidth="1"/>
    <col min="16140" max="16145" width="0" style="57" hidden="1" customWidth="1"/>
    <col min="16146" max="16146" width="11.28515625" style="57" customWidth="1"/>
    <col min="16147" max="16147" width="11.140625" style="57" customWidth="1"/>
    <col min="16148" max="16148" width="8.140625" style="57" customWidth="1"/>
    <col min="16149" max="16149" width="9.28515625" style="57" customWidth="1"/>
    <col min="16150" max="16150" width="9" style="57" customWidth="1"/>
    <col min="16151" max="16151" width="9.28515625" style="57" customWidth="1"/>
    <col min="16152" max="16153" width="0" style="57" hidden="1" customWidth="1"/>
    <col min="16154" max="16154" width="9.140625" style="57" customWidth="1"/>
    <col min="16155" max="16155" width="10.140625" style="57" customWidth="1"/>
    <col min="16156" max="16156" width="9.140625" style="57" customWidth="1"/>
    <col min="16157" max="16163" width="9.5703125" style="57" customWidth="1"/>
    <col min="16164" max="16164" width="19.28515625" style="57" customWidth="1"/>
    <col min="16165" max="16165" width="22.140625" style="57" customWidth="1"/>
    <col min="16166" max="16166" width="16.7109375" style="57" customWidth="1"/>
    <col min="16167" max="16167" width="13.5703125" style="57" customWidth="1"/>
    <col min="16168" max="16168" width="12" style="57" customWidth="1"/>
    <col min="16169" max="16169" width="9.28515625" style="57" customWidth="1"/>
    <col min="16170" max="16170" width="15.28515625" style="57" customWidth="1"/>
    <col min="16171" max="16171" width="9.7109375" style="57" customWidth="1"/>
    <col min="16172" max="16172" width="2.5703125" style="57" customWidth="1"/>
    <col min="16173" max="16173" width="23.85546875" style="57" customWidth="1"/>
    <col min="16174" max="16358" width="9.140625" style="57"/>
    <col min="16359" max="16369" width="9.140625" style="57" customWidth="1"/>
    <col min="16370" max="16381" width="9.140625" style="57"/>
    <col min="16382" max="16382" width="9.140625" style="57" customWidth="1"/>
    <col min="16383" max="16384" width="9.140625" style="57"/>
  </cols>
  <sheetData>
    <row r="1" spans="1:58" ht="19.5">
      <c r="A1" s="308" t="s">
        <v>0</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row>
    <row r="2" spans="1:58" s="59" customFormat="1" ht="23.45" customHeight="1">
      <c r="A2" s="309" t="s">
        <v>610</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58"/>
    </row>
    <row r="3" spans="1:58" s="59" customFormat="1" ht="30.6" customHeight="1">
      <c r="A3" s="310" t="s">
        <v>602</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58"/>
    </row>
    <row r="4" spans="1:58" s="61" customFormat="1" ht="29.25" customHeight="1">
      <c r="A4" s="311" t="s">
        <v>612</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60"/>
    </row>
    <row r="5" spans="1:58" s="61" customFormat="1" ht="19.149999999999999" customHeight="1">
      <c r="A5" s="62"/>
      <c r="B5" s="62"/>
      <c r="C5" s="62"/>
      <c r="D5" s="62"/>
      <c r="E5" s="62"/>
      <c r="F5" s="62"/>
      <c r="G5" s="62"/>
      <c r="H5" s="62"/>
      <c r="I5" s="63"/>
      <c r="J5" s="62"/>
      <c r="K5" s="62"/>
      <c r="L5" s="62"/>
      <c r="M5" s="62"/>
      <c r="N5" s="62"/>
      <c r="O5" s="62"/>
      <c r="P5" s="64"/>
      <c r="Q5" s="64"/>
      <c r="R5" s="65"/>
      <c r="S5" s="65"/>
      <c r="T5" s="65"/>
      <c r="U5" s="65"/>
      <c r="V5" s="66"/>
      <c r="W5" s="67"/>
      <c r="X5" s="67"/>
      <c r="Y5" s="67"/>
      <c r="Z5" s="67"/>
      <c r="AA5" s="68"/>
      <c r="AB5" s="68"/>
      <c r="AC5" s="68"/>
      <c r="AD5" s="68"/>
      <c r="AE5" s="67"/>
      <c r="AF5" s="67"/>
      <c r="AG5" s="67"/>
      <c r="AH5" s="67"/>
      <c r="AI5" s="67"/>
      <c r="AJ5" s="67"/>
      <c r="AK5" s="67"/>
      <c r="AL5" s="67"/>
      <c r="AM5" s="68"/>
      <c r="AN5" s="68"/>
      <c r="AO5" s="68"/>
      <c r="AP5" s="312" t="s">
        <v>1</v>
      </c>
      <c r="AQ5" s="312"/>
      <c r="AR5" s="312"/>
      <c r="AS5" s="312"/>
      <c r="AT5" s="312"/>
      <c r="AU5" s="312"/>
      <c r="AV5" s="312"/>
      <c r="AW5" s="312"/>
      <c r="AX5" s="312"/>
      <c r="AY5" s="312"/>
      <c r="AZ5" s="312"/>
      <c r="BA5" s="312"/>
      <c r="BB5" s="312"/>
      <c r="BC5" s="312"/>
      <c r="BD5" s="312"/>
      <c r="BE5" s="312"/>
      <c r="BF5" s="60"/>
    </row>
    <row r="6" spans="1:58" s="69" customFormat="1" ht="26.45" customHeight="1">
      <c r="A6" s="307" t="s">
        <v>2</v>
      </c>
      <c r="B6" s="307" t="s">
        <v>3</v>
      </c>
      <c r="C6" s="307" t="s">
        <v>4</v>
      </c>
      <c r="D6" s="307" t="s">
        <v>5</v>
      </c>
      <c r="E6" s="307" t="s">
        <v>6</v>
      </c>
      <c r="F6" s="307" t="s">
        <v>7</v>
      </c>
      <c r="G6" s="307" t="s">
        <v>8</v>
      </c>
      <c r="H6" s="307" t="s">
        <v>9</v>
      </c>
      <c r="I6" s="307" t="s">
        <v>10</v>
      </c>
      <c r="J6" s="307"/>
      <c r="K6" s="307"/>
      <c r="L6" s="307" t="s">
        <v>11</v>
      </c>
      <c r="M6" s="307"/>
      <c r="N6" s="307" t="s">
        <v>12</v>
      </c>
      <c r="O6" s="307"/>
      <c r="P6" s="313" t="s">
        <v>13</v>
      </c>
      <c r="Q6" s="314"/>
      <c r="R6" s="307" t="s">
        <v>14</v>
      </c>
      <c r="S6" s="307"/>
      <c r="T6" s="307"/>
      <c r="U6" s="307"/>
      <c r="V6" s="313" t="s">
        <v>15</v>
      </c>
      <c r="W6" s="307" t="s">
        <v>16</v>
      </c>
      <c r="X6" s="307"/>
      <c r="Y6" s="307"/>
      <c r="Z6" s="307"/>
      <c r="AA6" s="318" t="s">
        <v>17</v>
      </c>
      <c r="AB6" s="318"/>
      <c r="AC6" s="318"/>
      <c r="AD6" s="314"/>
      <c r="AE6" s="313" t="s">
        <v>18</v>
      </c>
      <c r="AF6" s="314"/>
      <c r="AG6" s="313" t="s">
        <v>19</v>
      </c>
      <c r="AH6" s="314"/>
      <c r="AI6" s="313" t="s">
        <v>20</v>
      </c>
      <c r="AJ6" s="318"/>
      <c r="AK6" s="318"/>
      <c r="AL6" s="314"/>
      <c r="AM6" s="307" t="s">
        <v>21</v>
      </c>
      <c r="AN6" s="307"/>
      <c r="AO6" s="307"/>
      <c r="AP6" s="307"/>
      <c r="AQ6" s="324" t="s">
        <v>22</v>
      </c>
      <c r="AR6" s="324" t="s">
        <v>23</v>
      </c>
      <c r="AS6" s="327"/>
      <c r="AT6" s="329" t="s">
        <v>24</v>
      </c>
      <c r="AU6" s="329"/>
      <c r="AV6" s="329"/>
      <c r="AW6" s="329"/>
      <c r="AX6" s="313" t="s">
        <v>25</v>
      </c>
      <c r="AY6" s="313" t="s">
        <v>26</v>
      </c>
      <c r="AZ6" s="314"/>
      <c r="BA6" s="307" t="s">
        <v>611</v>
      </c>
      <c r="BB6" s="307"/>
      <c r="BC6" s="307"/>
      <c r="BD6" s="307"/>
      <c r="BE6" s="307" t="s">
        <v>27</v>
      </c>
      <c r="BF6" s="1"/>
    </row>
    <row r="7" spans="1:58" s="70" customFormat="1" ht="20.25" customHeight="1">
      <c r="A7" s="307"/>
      <c r="B7" s="307"/>
      <c r="C7" s="307"/>
      <c r="D7" s="307"/>
      <c r="E7" s="307"/>
      <c r="F7" s="307"/>
      <c r="G7" s="307"/>
      <c r="H7" s="307"/>
      <c r="I7" s="307"/>
      <c r="J7" s="307"/>
      <c r="K7" s="307"/>
      <c r="L7" s="307"/>
      <c r="M7" s="307"/>
      <c r="N7" s="307"/>
      <c r="O7" s="307"/>
      <c r="P7" s="315"/>
      <c r="Q7" s="316"/>
      <c r="R7" s="307"/>
      <c r="S7" s="307"/>
      <c r="T7" s="307"/>
      <c r="U7" s="307"/>
      <c r="V7" s="317"/>
      <c r="W7" s="307"/>
      <c r="X7" s="307"/>
      <c r="Y7" s="307"/>
      <c r="Z7" s="307"/>
      <c r="AA7" s="319"/>
      <c r="AB7" s="319"/>
      <c r="AC7" s="319"/>
      <c r="AD7" s="316"/>
      <c r="AE7" s="315"/>
      <c r="AF7" s="316"/>
      <c r="AG7" s="315"/>
      <c r="AH7" s="316"/>
      <c r="AI7" s="315"/>
      <c r="AJ7" s="319"/>
      <c r="AK7" s="319"/>
      <c r="AL7" s="316"/>
      <c r="AM7" s="307"/>
      <c r="AN7" s="307"/>
      <c r="AO7" s="307"/>
      <c r="AP7" s="307"/>
      <c r="AQ7" s="325"/>
      <c r="AR7" s="326"/>
      <c r="AS7" s="328"/>
      <c r="AT7" s="329"/>
      <c r="AU7" s="329"/>
      <c r="AV7" s="329"/>
      <c r="AW7" s="329"/>
      <c r="AX7" s="317"/>
      <c r="AY7" s="315"/>
      <c r="AZ7" s="316"/>
      <c r="BA7" s="307"/>
      <c r="BB7" s="307"/>
      <c r="BC7" s="307"/>
      <c r="BD7" s="307"/>
      <c r="BE7" s="307"/>
      <c r="BF7" s="1"/>
    </row>
    <row r="8" spans="1:58" s="70" customFormat="1" ht="25.5" customHeight="1">
      <c r="A8" s="307"/>
      <c r="B8" s="307"/>
      <c r="C8" s="307"/>
      <c r="D8" s="307"/>
      <c r="E8" s="307"/>
      <c r="F8" s="307"/>
      <c r="G8" s="307"/>
      <c r="H8" s="307"/>
      <c r="I8" s="307" t="s">
        <v>28</v>
      </c>
      <c r="J8" s="307" t="s">
        <v>29</v>
      </c>
      <c r="K8" s="307"/>
      <c r="L8" s="307" t="s">
        <v>30</v>
      </c>
      <c r="M8" s="314" t="s">
        <v>31</v>
      </c>
      <c r="N8" s="307" t="s">
        <v>30</v>
      </c>
      <c r="O8" s="314" t="s">
        <v>31</v>
      </c>
      <c r="P8" s="320" t="s">
        <v>30</v>
      </c>
      <c r="Q8" s="314" t="s">
        <v>31</v>
      </c>
      <c r="R8" s="307" t="s">
        <v>30</v>
      </c>
      <c r="S8" s="307" t="s">
        <v>31</v>
      </c>
      <c r="T8" s="307"/>
      <c r="U8" s="307"/>
      <c r="V8" s="317"/>
      <c r="W8" s="307" t="s">
        <v>30</v>
      </c>
      <c r="X8" s="313" t="s">
        <v>31</v>
      </c>
      <c r="Y8" s="318"/>
      <c r="Z8" s="314"/>
      <c r="AA8" s="307" t="s">
        <v>30</v>
      </c>
      <c r="AB8" s="307" t="s">
        <v>31</v>
      </c>
      <c r="AC8" s="307"/>
      <c r="AD8" s="307"/>
      <c r="AE8" s="320" t="s">
        <v>32</v>
      </c>
      <c r="AF8" s="320" t="s">
        <v>33</v>
      </c>
      <c r="AG8" s="320" t="s">
        <v>32</v>
      </c>
      <c r="AH8" s="320" t="s">
        <v>33</v>
      </c>
      <c r="AI8" s="320" t="s">
        <v>30</v>
      </c>
      <c r="AJ8" s="307" t="s">
        <v>34</v>
      </c>
      <c r="AK8" s="307"/>
      <c r="AL8" s="307"/>
      <c r="AM8" s="320" t="s">
        <v>30</v>
      </c>
      <c r="AN8" s="307" t="s">
        <v>34</v>
      </c>
      <c r="AO8" s="307"/>
      <c r="AP8" s="307"/>
      <c r="AQ8" s="325"/>
      <c r="AR8" s="333" t="s">
        <v>32</v>
      </c>
      <c r="AS8" s="333" t="s">
        <v>33</v>
      </c>
      <c r="AT8" s="333" t="s">
        <v>30</v>
      </c>
      <c r="AU8" s="329" t="s">
        <v>34</v>
      </c>
      <c r="AV8" s="329"/>
      <c r="AW8" s="329"/>
      <c r="AX8" s="317"/>
      <c r="AY8" s="320" t="s">
        <v>32</v>
      </c>
      <c r="AZ8" s="320" t="s">
        <v>33</v>
      </c>
      <c r="BA8" s="320" t="s">
        <v>30</v>
      </c>
      <c r="BB8" s="307" t="s">
        <v>34</v>
      </c>
      <c r="BC8" s="307"/>
      <c r="BD8" s="307"/>
      <c r="BE8" s="307"/>
      <c r="BF8" s="71"/>
    </row>
    <row r="9" spans="1:58" s="70" customFormat="1" ht="21.2" customHeight="1">
      <c r="A9" s="307"/>
      <c r="B9" s="307"/>
      <c r="C9" s="307"/>
      <c r="D9" s="307"/>
      <c r="E9" s="307"/>
      <c r="F9" s="307"/>
      <c r="G9" s="307"/>
      <c r="H9" s="307"/>
      <c r="I9" s="307"/>
      <c r="J9" s="307" t="s">
        <v>30</v>
      </c>
      <c r="K9" s="307" t="s">
        <v>33</v>
      </c>
      <c r="L9" s="307"/>
      <c r="M9" s="323"/>
      <c r="N9" s="307"/>
      <c r="O9" s="323"/>
      <c r="P9" s="321"/>
      <c r="Q9" s="323"/>
      <c r="R9" s="307"/>
      <c r="S9" s="307" t="s">
        <v>32</v>
      </c>
      <c r="T9" s="331" t="s">
        <v>35</v>
      </c>
      <c r="U9" s="331"/>
      <c r="V9" s="317"/>
      <c r="W9" s="307"/>
      <c r="X9" s="330" t="s">
        <v>32</v>
      </c>
      <c r="Y9" s="331" t="s">
        <v>35</v>
      </c>
      <c r="Z9" s="331"/>
      <c r="AA9" s="307"/>
      <c r="AB9" s="330" t="s">
        <v>32</v>
      </c>
      <c r="AC9" s="331" t="s">
        <v>35</v>
      </c>
      <c r="AD9" s="331"/>
      <c r="AE9" s="321"/>
      <c r="AF9" s="321"/>
      <c r="AG9" s="321"/>
      <c r="AH9" s="321"/>
      <c r="AI9" s="321"/>
      <c r="AJ9" s="320" t="s">
        <v>32</v>
      </c>
      <c r="AK9" s="320" t="s">
        <v>36</v>
      </c>
      <c r="AL9" s="320" t="s">
        <v>37</v>
      </c>
      <c r="AM9" s="321"/>
      <c r="AN9" s="307" t="s">
        <v>32</v>
      </c>
      <c r="AO9" s="331" t="s">
        <v>38</v>
      </c>
      <c r="AP9" s="331"/>
      <c r="AQ9" s="325"/>
      <c r="AR9" s="334"/>
      <c r="AS9" s="334"/>
      <c r="AT9" s="334"/>
      <c r="AU9" s="329" t="s">
        <v>32</v>
      </c>
      <c r="AV9" s="332" t="s">
        <v>38</v>
      </c>
      <c r="AW9" s="332"/>
      <c r="AX9" s="317"/>
      <c r="AY9" s="321"/>
      <c r="AZ9" s="321"/>
      <c r="BA9" s="321"/>
      <c r="BB9" s="307" t="s">
        <v>32</v>
      </c>
      <c r="BC9" s="331" t="s">
        <v>38</v>
      </c>
      <c r="BD9" s="331"/>
      <c r="BE9" s="307"/>
      <c r="BF9" s="71"/>
    </row>
    <row r="10" spans="1:58" s="70" customFormat="1" ht="15" customHeight="1">
      <c r="A10" s="307"/>
      <c r="B10" s="307"/>
      <c r="C10" s="307"/>
      <c r="D10" s="307"/>
      <c r="E10" s="307"/>
      <c r="F10" s="307"/>
      <c r="G10" s="307"/>
      <c r="H10" s="307"/>
      <c r="I10" s="307"/>
      <c r="J10" s="307"/>
      <c r="K10" s="307"/>
      <c r="L10" s="307"/>
      <c r="M10" s="323"/>
      <c r="N10" s="307"/>
      <c r="O10" s="323"/>
      <c r="P10" s="321"/>
      <c r="Q10" s="323"/>
      <c r="R10" s="307"/>
      <c r="S10" s="307"/>
      <c r="T10" s="332" t="s">
        <v>39</v>
      </c>
      <c r="U10" s="332" t="s">
        <v>37</v>
      </c>
      <c r="V10" s="317"/>
      <c r="W10" s="307"/>
      <c r="X10" s="330"/>
      <c r="Y10" s="307" t="s">
        <v>39</v>
      </c>
      <c r="Z10" s="307" t="s">
        <v>37</v>
      </c>
      <c r="AA10" s="307"/>
      <c r="AB10" s="330"/>
      <c r="AC10" s="307" t="s">
        <v>39</v>
      </c>
      <c r="AD10" s="307" t="s">
        <v>37</v>
      </c>
      <c r="AE10" s="321"/>
      <c r="AF10" s="321"/>
      <c r="AG10" s="321"/>
      <c r="AH10" s="321"/>
      <c r="AI10" s="321"/>
      <c r="AJ10" s="321"/>
      <c r="AK10" s="321"/>
      <c r="AL10" s="321"/>
      <c r="AM10" s="321"/>
      <c r="AN10" s="307"/>
      <c r="AO10" s="331" t="s">
        <v>39</v>
      </c>
      <c r="AP10" s="331" t="s">
        <v>37</v>
      </c>
      <c r="AQ10" s="325"/>
      <c r="AR10" s="334"/>
      <c r="AS10" s="334"/>
      <c r="AT10" s="334"/>
      <c r="AU10" s="329"/>
      <c r="AV10" s="332" t="s">
        <v>39</v>
      </c>
      <c r="AW10" s="332" t="s">
        <v>37</v>
      </c>
      <c r="AX10" s="317"/>
      <c r="AY10" s="321"/>
      <c r="AZ10" s="321"/>
      <c r="BA10" s="321"/>
      <c r="BB10" s="307"/>
      <c r="BC10" s="331" t="s">
        <v>39</v>
      </c>
      <c r="BD10" s="331" t="s">
        <v>37</v>
      </c>
      <c r="BE10" s="307"/>
      <c r="BF10" s="71"/>
    </row>
    <row r="11" spans="1:58" s="70" customFormat="1" ht="28.15" customHeight="1">
      <c r="A11" s="307"/>
      <c r="B11" s="307"/>
      <c r="C11" s="307"/>
      <c r="D11" s="307"/>
      <c r="E11" s="307"/>
      <c r="F11" s="307"/>
      <c r="G11" s="307"/>
      <c r="H11" s="307"/>
      <c r="I11" s="307"/>
      <c r="J11" s="307"/>
      <c r="K11" s="307"/>
      <c r="L11" s="307"/>
      <c r="M11" s="323"/>
      <c r="N11" s="307"/>
      <c r="O11" s="323"/>
      <c r="P11" s="321"/>
      <c r="Q11" s="323"/>
      <c r="R11" s="307"/>
      <c r="S11" s="307"/>
      <c r="T11" s="332"/>
      <c r="U11" s="332"/>
      <c r="V11" s="317"/>
      <c r="W11" s="307"/>
      <c r="X11" s="330"/>
      <c r="Y11" s="307"/>
      <c r="Z11" s="307"/>
      <c r="AA11" s="307"/>
      <c r="AB11" s="330"/>
      <c r="AC11" s="307"/>
      <c r="AD11" s="307"/>
      <c r="AE11" s="321"/>
      <c r="AF11" s="321"/>
      <c r="AG11" s="321"/>
      <c r="AH11" s="321"/>
      <c r="AI11" s="321"/>
      <c r="AJ11" s="321"/>
      <c r="AK11" s="321"/>
      <c r="AL11" s="321"/>
      <c r="AM11" s="321"/>
      <c r="AN11" s="307"/>
      <c r="AO11" s="331"/>
      <c r="AP11" s="331"/>
      <c r="AQ11" s="325"/>
      <c r="AR11" s="334"/>
      <c r="AS11" s="334"/>
      <c r="AT11" s="334"/>
      <c r="AU11" s="329"/>
      <c r="AV11" s="332"/>
      <c r="AW11" s="332"/>
      <c r="AX11" s="317"/>
      <c r="AY11" s="321"/>
      <c r="AZ11" s="321"/>
      <c r="BA11" s="321"/>
      <c r="BB11" s="307"/>
      <c r="BC11" s="331"/>
      <c r="BD11" s="331"/>
      <c r="BE11" s="307"/>
      <c r="BF11" s="71"/>
    </row>
    <row r="12" spans="1:58" s="70" customFormat="1" ht="40.700000000000003" customHeight="1">
      <c r="A12" s="307"/>
      <c r="B12" s="307"/>
      <c r="C12" s="307"/>
      <c r="D12" s="307"/>
      <c r="E12" s="307"/>
      <c r="F12" s="307"/>
      <c r="G12" s="307"/>
      <c r="H12" s="307"/>
      <c r="I12" s="307"/>
      <c r="J12" s="307"/>
      <c r="K12" s="307"/>
      <c r="L12" s="307"/>
      <c r="M12" s="316"/>
      <c r="N12" s="307"/>
      <c r="O12" s="316"/>
      <c r="P12" s="322"/>
      <c r="Q12" s="316"/>
      <c r="R12" s="307"/>
      <c r="S12" s="307"/>
      <c r="T12" s="332"/>
      <c r="U12" s="332"/>
      <c r="V12" s="315"/>
      <c r="W12" s="307"/>
      <c r="X12" s="330"/>
      <c r="Y12" s="307"/>
      <c r="Z12" s="307"/>
      <c r="AA12" s="307"/>
      <c r="AB12" s="330"/>
      <c r="AC12" s="307"/>
      <c r="AD12" s="307"/>
      <c r="AE12" s="322"/>
      <c r="AF12" s="322"/>
      <c r="AG12" s="322"/>
      <c r="AH12" s="322"/>
      <c r="AI12" s="322"/>
      <c r="AJ12" s="322"/>
      <c r="AK12" s="322"/>
      <c r="AL12" s="322"/>
      <c r="AM12" s="322"/>
      <c r="AN12" s="307"/>
      <c r="AO12" s="331"/>
      <c r="AP12" s="331"/>
      <c r="AQ12" s="326"/>
      <c r="AR12" s="335"/>
      <c r="AS12" s="335"/>
      <c r="AT12" s="335"/>
      <c r="AU12" s="329"/>
      <c r="AV12" s="332"/>
      <c r="AW12" s="332"/>
      <c r="AX12" s="315"/>
      <c r="AY12" s="322"/>
      <c r="AZ12" s="322"/>
      <c r="BA12" s="322"/>
      <c r="BB12" s="307"/>
      <c r="BC12" s="331"/>
      <c r="BD12" s="331"/>
      <c r="BE12" s="307"/>
      <c r="BF12" s="71"/>
    </row>
    <row r="13" spans="1:58" s="74" customFormat="1" ht="25.5" customHeight="1">
      <c r="A13" s="72">
        <v>1</v>
      </c>
      <c r="B13" s="72">
        <v>2</v>
      </c>
      <c r="C13" s="72">
        <v>3</v>
      </c>
      <c r="D13" s="72">
        <v>4</v>
      </c>
      <c r="E13" s="72">
        <v>5</v>
      </c>
      <c r="F13" s="72">
        <v>6</v>
      </c>
      <c r="G13" s="72">
        <v>7</v>
      </c>
      <c r="H13" s="72">
        <v>8</v>
      </c>
      <c r="I13" s="72">
        <v>9</v>
      </c>
      <c r="J13" s="72">
        <v>10</v>
      </c>
      <c r="K13" s="72">
        <v>11</v>
      </c>
      <c r="L13" s="72">
        <v>9</v>
      </c>
      <c r="M13" s="72">
        <v>10</v>
      </c>
      <c r="N13" s="72">
        <v>11</v>
      </c>
      <c r="O13" s="72">
        <v>12</v>
      </c>
      <c r="P13" s="72">
        <v>9</v>
      </c>
      <c r="Q13" s="72">
        <v>10</v>
      </c>
      <c r="R13" s="72">
        <v>12</v>
      </c>
      <c r="S13" s="72">
        <v>13</v>
      </c>
      <c r="T13" s="72">
        <v>14</v>
      </c>
      <c r="U13" s="72">
        <v>15</v>
      </c>
      <c r="V13" s="72"/>
      <c r="W13" s="72">
        <v>15</v>
      </c>
      <c r="X13" s="72">
        <v>16</v>
      </c>
      <c r="Y13" s="72">
        <v>19</v>
      </c>
      <c r="Z13" s="72">
        <v>20</v>
      </c>
      <c r="AA13" s="72">
        <v>17</v>
      </c>
      <c r="AB13" s="72">
        <v>18</v>
      </c>
      <c r="AC13" s="72">
        <v>19</v>
      </c>
      <c r="AD13" s="72">
        <v>20</v>
      </c>
      <c r="AE13" s="72">
        <v>10</v>
      </c>
      <c r="AF13" s="72">
        <v>11</v>
      </c>
      <c r="AG13" s="72"/>
      <c r="AH13" s="72"/>
      <c r="AI13" s="72">
        <v>12</v>
      </c>
      <c r="AJ13" s="72">
        <v>13</v>
      </c>
      <c r="AK13" s="72">
        <v>14</v>
      </c>
      <c r="AL13" s="72">
        <v>15</v>
      </c>
      <c r="AM13" s="72">
        <v>16</v>
      </c>
      <c r="AN13" s="72">
        <v>17</v>
      </c>
      <c r="AO13" s="72">
        <v>18</v>
      </c>
      <c r="AP13" s="72">
        <v>19</v>
      </c>
      <c r="AQ13" s="73"/>
      <c r="AR13" s="73"/>
      <c r="AS13" s="73"/>
      <c r="AT13" s="73"/>
      <c r="AU13" s="73"/>
      <c r="AV13" s="73"/>
      <c r="AW13" s="73"/>
      <c r="AX13" s="72">
        <v>16</v>
      </c>
      <c r="AY13" s="72">
        <v>17</v>
      </c>
      <c r="AZ13" s="72">
        <v>18</v>
      </c>
      <c r="BA13" s="72">
        <v>19</v>
      </c>
      <c r="BB13" s="72">
        <v>20</v>
      </c>
      <c r="BC13" s="72">
        <v>21</v>
      </c>
      <c r="BD13" s="72">
        <v>22</v>
      </c>
      <c r="BE13" s="72">
        <v>23</v>
      </c>
    </row>
    <row r="14" spans="1:58" s="74" customFormat="1" ht="25.5" hidden="1" customHeight="1">
      <c r="A14" s="72"/>
      <c r="B14" s="72"/>
      <c r="C14" s="72"/>
      <c r="D14" s="72"/>
      <c r="E14" s="72"/>
      <c r="F14" s="72"/>
      <c r="G14" s="72"/>
      <c r="H14" s="72"/>
      <c r="I14" s="2"/>
      <c r="J14" s="3"/>
      <c r="K14" s="3"/>
      <c r="L14" s="3"/>
      <c r="M14" s="3"/>
      <c r="N14" s="3"/>
      <c r="O14" s="3"/>
      <c r="P14" s="3"/>
      <c r="Q14" s="3"/>
      <c r="R14" s="3"/>
      <c r="S14" s="3"/>
      <c r="T14" s="3"/>
      <c r="U14" s="3"/>
      <c r="V14" s="3"/>
      <c r="W14" s="3"/>
      <c r="X14" s="3"/>
      <c r="Y14" s="3"/>
      <c r="Z14" s="3"/>
      <c r="AA14" s="3">
        <f>AB15+AB306</f>
        <v>94878</v>
      </c>
      <c r="AB14" s="3" t="e">
        <f>AA14+AB325+#REF!</f>
        <v>#REF!</v>
      </c>
      <c r="AC14" s="3"/>
      <c r="AD14" s="3" t="e">
        <f>AB16-AB14</f>
        <v>#REF!</v>
      </c>
      <c r="AE14" s="3"/>
      <c r="AF14" s="3"/>
      <c r="AG14" s="3"/>
      <c r="AH14" s="3"/>
      <c r="AI14" s="3"/>
      <c r="AJ14" s="3"/>
      <c r="AK14" s="3"/>
      <c r="AL14" s="3"/>
      <c r="AM14" s="3">
        <f>AB15*1.1</f>
        <v>104365.8</v>
      </c>
      <c r="AN14" s="3"/>
      <c r="AO14" s="3"/>
      <c r="AP14" s="3"/>
      <c r="AQ14" s="12"/>
      <c r="AR14" s="12"/>
      <c r="AS14" s="12"/>
      <c r="AT14" s="12"/>
      <c r="AU14" s="12"/>
      <c r="AV14" s="12"/>
      <c r="AW14" s="12"/>
      <c r="AX14" s="3"/>
      <c r="AY14" s="3"/>
      <c r="AZ14" s="3"/>
      <c r="BA14" s="3"/>
      <c r="BB14" s="3"/>
      <c r="BC14" s="3"/>
      <c r="BD14" s="3"/>
      <c r="BE14" s="72"/>
    </row>
    <row r="15" spans="1:58" s="74" customFormat="1" ht="25.5" hidden="1" customHeight="1">
      <c r="A15" s="72"/>
      <c r="B15" s="72"/>
      <c r="C15" s="72"/>
      <c r="D15" s="72"/>
      <c r="E15" s="72"/>
      <c r="F15" s="72"/>
      <c r="G15" s="72"/>
      <c r="H15" s="72"/>
      <c r="I15" s="2"/>
      <c r="J15" s="3"/>
      <c r="K15" s="3"/>
      <c r="L15" s="3"/>
      <c r="M15" s="3"/>
      <c r="N15" s="3"/>
      <c r="O15" s="3"/>
      <c r="P15" s="3"/>
      <c r="Q15" s="3"/>
      <c r="R15" s="3"/>
      <c r="S15" s="3"/>
      <c r="T15" s="3"/>
      <c r="U15" s="3"/>
      <c r="V15" s="3"/>
      <c r="W15" s="3"/>
      <c r="X15" s="3"/>
      <c r="Y15" s="3"/>
      <c r="Z15" s="3"/>
      <c r="AA15" s="3"/>
      <c r="AB15" s="3">
        <f>AB59+AB79+AB102+AB119+AB129+AB135+AB155+AB174+AB191+AB206+AB218+AB229+AB234+AB247+AB282+AB289</f>
        <v>94878</v>
      </c>
      <c r="AC15" s="3"/>
      <c r="AD15" s="3"/>
      <c r="AE15" s="3"/>
      <c r="AF15" s="3"/>
      <c r="AG15" s="3"/>
      <c r="AH15" s="3"/>
      <c r="AI15" s="3"/>
      <c r="AJ15" s="3"/>
      <c r="AK15" s="3"/>
      <c r="AL15" s="3"/>
      <c r="AM15" s="3">
        <f>AM59+AM79+AM102+AM119+AM129+AM135+AM155+AM174+AM191+AM206+AM218+AM229+AM234+AM247+AM282+AM289</f>
        <v>237886</v>
      </c>
      <c r="AN15" s="3">
        <f>AN59+AN79+AN102+AN119+AN129+AN135+AN155+AN174+AN191+AN206+AN218+AN229+AN234+AN247+AN282+AN289</f>
        <v>210886</v>
      </c>
      <c r="AO15" s="3">
        <f>AO59+AO79+AO102+AO119+AO129+AO135+AO155+AO174+AO191+AO206+AO218+AO229+AO234+AO247+AO282+AO289</f>
        <v>1000</v>
      </c>
      <c r="AP15" s="3">
        <f>AP59+AP79+AP102+AP119+AP129+AP135+AP155+AP174+AP191+AP206+AP218+AP229+AP234+AP247+AP282+AP289</f>
        <v>0</v>
      </c>
      <c r="AQ15" s="12"/>
      <c r="AR15" s="12"/>
      <c r="AS15" s="12"/>
      <c r="AT15" s="12"/>
      <c r="AU15" s="12"/>
      <c r="AV15" s="12"/>
      <c r="AW15" s="12"/>
      <c r="AX15" s="3"/>
      <c r="AY15" s="3"/>
      <c r="AZ15" s="3"/>
      <c r="BA15" s="3"/>
      <c r="BB15" s="3"/>
      <c r="BC15" s="3"/>
      <c r="BD15" s="3"/>
      <c r="BE15" s="72"/>
    </row>
    <row r="16" spans="1:58" s="77" customFormat="1" ht="23.25" hidden="1" customHeight="1">
      <c r="A16" s="75" t="s">
        <v>40</v>
      </c>
      <c r="B16" s="76" t="s">
        <v>41</v>
      </c>
      <c r="C16" s="72"/>
      <c r="D16" s="72"/>
      <c r="E16" s="72"/>
      <c r="F16" s="72"/>
      <c r="G16" s="72"/>
      <c r="H16" s="72"/>
      <c r="I16" s="2"/>
      <c r="J16" s="3"/>
      <c r="K16" s="3"/>
      <c r="L16" s="3"/>
      <c r="M16" s="3"/>
      <c r="N16" s="3"/>
      <c r="O16" s="3"/>
      <c r="P16" s="3"/>
      <c r="Q16" s="3"/>
      <c r="R16" s="4"/>
      <c r="S16" s="4">
        <f>S17+S27</f>
        <v>3569492</v>
      </c>
      <c r="T16" s="4"/>
      <c r="U16" s="4"/>
      <c r="V16" s="4"/>
      <c r="W16" s="4"/>
      <c r="X16" s="4">
        <f>X17+X27</f>
        <v>627050</v>
      </c>
      <c r="Y16" s="4"/>
      <c r="Z16" s="4"/>
      <c r="AA16" s="4"/>
      <c r="AB16" s="4">
        <f>AB17+AB23</f>
        <v>690505</v>
      </c>
      <c r="AC16" s="4"/>
      <c r="AD16" s="4"/>
      <c r="AE16" s="4">
        <f t="shared" ref="AE16:AF40" si="0">W16+AA16</f>
        <v>0</v>
      </c>
      <c r="AF16" s="4">
        <f t="shared" si="0"/>
        <v>1317555</v>
      </c>
      <c r="AG16" s="4"/>
      <c r="AH16" s="4"/>
      <c r="AI16" s="4"/>
      <c r="AJ16" s="4"/>
      <c r="AK16" s="4"/>
      <c r="AL16" s="4"/>
      <c r="AM16" s="4"/>
      <c r="AN16" s="4"/>
      <c r="AO16" s="4"/>
      <c r="AP16" s="4"/>
      <c r="AQ16" s="22"/>
      <c r="AR16" s="22"/>
      <c r="AS16" s="22"/>
      <c r="AT16" s="22"/>
      <c r="AU16" s="22"/>
      <c r="AV16" s="22"/>
      <c r="AW16" s="22"/>
      <c r="AX16" s="4"/>
      <c r="AY16" s="4"/>
      <c r="AZ16" s="4"/>
      <c r="BA16" s="4"/>
      <c r="BB16" s="4"/>
      <c r="BC16" s="4"/>
      <c r="BD16" s="4"/>
      <c r="BE16" s="72">
        <f>AB16-BE17</f>
        <v>-363355</v>
      </c>
    </row>
    <row r="17" spans="1:57" s="78" customFormat="1" ht="26.45" hidden="1" customHeight="1">
      <c r="A17" s="75" t="s">
        <v>42</v>
      </c>
      <c r="B17" s="76" t="s">
        <v>43</v>
      </c>
      <c r="C17" s="75"/>
      <c r="D17" s="75"/>
      <c r="E17" s="75"/>
      <c r="F17" s="75"/>
      <c r="G17" s="75"/>
      <c r="H17" s="75"/>
      <c r="I17" s="5"/>
      <c r="J17" s="4"/>
      <c r="K17" s="4"/>
      <c r="L17" s="4"/>
      <c r="M17" s="4"/>
      <c r="N17" s="4"/>
      <c r="O17" s="4"/>
      <c r="P17" s="4"/>
      <c r="Q17" s="4"/>
      <c r="R17" s="4"/>
      <c r="S17" s="4">
        <f>S18+S21+S22</f>
        <v>3569492</v>
      </c>
      <c r="T17" s="4"/>
      <c r="U17" s="4"/>
      <c r="V17" s="4"/>
      <c r="W17" s="4"/>
      <c r="X17" s="4">
        <f>X18+X21+X22</f>
        <v>627050</v>
      </c>
      <c r="Y17" s="4"/>
      <c r="Z17" s="4"/>
      <c r="AA17" s="4"/>
      <c r="AB17" s="4">
        <f>AB18+AB21+AB22</f>
        <v>538437</v>
      </c>
      <c r="AC17" s="4">
        <f>AC18+AC21+AC22</f>
        <v>0</v>
      </c>
      <c r="AD17" s="4">
        <f>AD18+AD21+AD22</f>
        <v>0</v>
      </c>
      <c r="AE17" s="4">
        <f t="shared" si="0"/>
        <v>0</v>
      </c>
      <c r="AF17" s="4">
        <f t="shared" si="0"/>
        <v>1165487</v>
      </c>
      <c r="AG17" s="4"/>
      <c r="AH17" s="4"/>
      <c r="AI17" s="4"/>
      <c r="AJ17" s="4"/>
      <c r="AK17" s="4"/>
      <c r="AL17" s="4"/>
      <c r="AM17" s="4"/>
      <c r="AN17" s="4">
        <f>AN15-12000</f>
        <v>198886</v>
      </c>
      <c r="AO17" s="4"/>
      <c r="AP17" s="4"/>
      <c r="AQ17" s="22"/>
      <c r="AR17" s="22"/>
      <c r="AS17" s="22"/>
      <c r="AT17" s="22"/>
      <c r="AU17" s="22"/>
      <c r="AV17" s="22"/>
      <c r="AW17" s="22"/>
      <c r="AX17" s="4"/>
      <c r="AY17" s="4"/>
      <c r="AZ17" s="4"/>
      <c r="BA17" s="4"/>
      <c r="BB17" s="4"/>
      <c r="BC17" s="4"/>
      <c r="BD17" s="4"/>
      <c r="BE17" s="75">
        <f>BE18+BE21+BE22</f>
        <v>1053860</v>
      </c>
    </row>
    <row r="18" spans="1:57" s="78" customFormat="1" ht="34.5" hidden="1" customHeight="1">
      <c r="A18" s="75" t="s">
        <v>44</v>
      </c>
      <c r="B18" s="79" t="s">
        <v>45</v>
      </c>
      <c r="C18" s="75"/>
      <c r="D18" s="75"/>
      <c r="E18" s="75"/>
      <c r="F18" s="75"/>
      <c r="G18" s="75"/>
      <c r="H18" s="75"/>
      <c r="I18" s="5"/>
      <c r="J18" s="4"/>
      <c r="K18" s="4"/>
      <c r="L18" s="4"/>
      <c r="M18" s="4"/>
      <c r="N18" s="4"/>
      <c r="O18" s="4"/>
      <c r="P18" s="4"/>
      <c r="Q18" s="4"/>
      <c r="R18" s="4"/>
      <c r="S18" s="4">
        <f>S19+S20</f>
        <v>3309392</v>
      </c>
      <c r="T18" s="4"/>
      <c r="U18" s="4"/>
      <c r="V18" s="4"/>
      <c r="W18" s="4"/>
      <c r="X18" s="4">
        <f>X19+X20</f>
        <v>602300</v>
      </c>
      <c r="Y18" s="4"/>
      <c r="Z18" s="4"/>
      <c r="AA18" s="4"/>
      <c r="AB18" s="4">
        <f>AB19+AB20</f>
        <v>510462</v>
      </c>
      <c r="AC18" s="4">
        <f>AC19+AC20</f>
        <v>0</v>
      </c>
      <c r="AD18" s="4">
        <f>AD19+AD20</f>
        <v>0</v>
      </c>
      <c r="AE18" s="4">
        <f t="shared" si="0"/>
        <v>0</v>
      </c>
      <c r="AF18" s="4">
        <f t="shared" si="0"/>
        <v>1112762</v>
      </c>
      <c r="AG18" s="4"/>
      <c r="AH18" s="4"/>
      <c r="AI18" s="4"/>
      <c r="AJ18" s="4"/>
      <c r="AK18" s="4"/>
      <c r="AL18" s="4"/>
      <c r="AM18" s="4"/>
      <c r="AN18" s="4"/>
      <c r="AO18" s="4"/>
      <c r="AP18" s="4"/>
      <c r="AQ18" s="22"/>
      <c r="AR18" s="22"/>
      <c r="AS18" s="22"/>
      <c r="AT18" s="22"/>
      <c r="AU18" s="22"/>
      <c r="AV18" s="22"/>
      <c r="AW18" s="22"/>
      <c r="AX18" s="4"/>
      <c r="AY18" s="4"/>
      <c r="AZ18" s="4"/>
      <c r="BA18" s="4"/>
      <c r="BB18" s="4"/>
      <c r="BC18" s="4"/>
      <c r="BD18" s="4"/>
      <c r="BE18" s="75">
        <f>BE19+BE20</f>
        <v>976860</v>
      </c>
    </row>
    <row r="19" spans="1:57" s="82" customFormat="1" ht="36.75" hidden="1" customHeight="1">
      <c r="A19" s="80"/>
      <c r="B19" s="81" t="s">
        <v>46</v>
      </c>
      <c r="C19" s="80"/>
      <c r="D19" s="80"/>
      <c r="E19" s="80"/>
      <c r="F19" s="80"/>
      <c r="G19" s="80"/>
      <c r="H19" s="80"/>
      <c r="I19" s="6"/>
      <c r="J19" s="7"/>
      <c r="K19" s="7"/>
      <c r="L19" s="7"/>
      <c r="M19" s="7"/>
      <c r="N19" s="7"/>
      <c r="O19" s="7"/>
      <c r="P19" s="7"/>
      <c r="Q19" s="7"/>
      <c r="R19" s="7"/>
      <c r="S19" s="7">
        <v>3309392</v>
      </c>
      <c r="T19" s="7"/>
      <c r="U19" s="7"/>
      <c r="V19" s="7"/>
      <c r="W19" s="7"/>
      <c r="X19" s="7">
        <v>602300</v>
      </c>
      <c r="Y19" s="7"/>
      <c r="Z19" s="7"/>
      <c r="AA19" s="7"/>
      <c r="AB19" s="7">
        <v>488430</v>
      </c>
      <c r="AC19" s="7"/>
      <c r="AD19" s="7"/>
      <c r="AE19" s="4">
        <f t="shared" si="0"/>
        <v>0</v>
      </c>
      <c r="AF19" s="4">
        <f t="shared" si="0"/>
        <v>1090730</v>
      </c>
      <c r="AG19" s="4"/>
      <c r="AH19" s="4"/>
      <c r="AI19" s="4"/>
      <c r="AJ19" s="4"/>
      <c r="AK19" s="4"/>
      <c r="AL19" s="4"/>
      <c r="AM19" s="7"/>
      <c r="AN19" s="7"/>
      <c r="AO19" s="7"/>
      <c r="AP19" s="7"/>
      <c r="AQ19" s="14"/>
      <c r="AR19" s="14"/>
      <c r="AS19" s="14"/>
      <c r="AT19" s="14"/>
      <c r="AU19" s="14"/>
      <c r="AV19" s="14"/>
      <c r="AW19" s="14"/>
      <c r="AX19" s="7"/>
      <c r="AY19" s="7"/>
      <c r="AZ19" s="7"/>
      <c r="BA19" s="7"/>
      <c r="BB19" s="7"/>
      <c r="BC19" s="7"/>
      <c r="BD19" s="7"/>
      <c r="BE19" s="80">
        <f>AB19</f>
        <v>488430</v>
      </c>
    </row>
    <row r="20" spans="1:57" s="82" customFormat="1" ht="37.5" hidden="1" customHeight="1">
      <c r="A20" s="80"/>
      <c r="B20" s="81" t="s">
        <v>47</v>
      </c>
      <c r="C20" s="80"/>
      <c r="D20" s="80"/>
      <c r="E20" s="80"/>
      <c r="F20" s="80"/>
      <c r="G20" s="80"/>
      <c r="H20" s="80"/>
      <c r="I20" s="6"/>
      <c r="J20" s="7"/>
      <c r="K20" s="7"/>
      <c r="L20" s="7"/>
      <c r="M20" s="7"/>
      <c r="N20" s="7"/>
      <c r="O20" s="7"/>
      <c r="P20" s="7"/>
      <c r="Q20" s="7"/>
      <c r="R20" s="7"/>
      <c r="S20" s="7"/>
      <c r="T20" s="7"/>
      <c r="U20" s="7"/>
      <c r="V20" s="7"/>
      <c r="W20" s="7"/>
      <c r="X20" s="7"/>
      <c r="Y20" s="7"/>
      <c r="Z20" s="7"/>
      <c r="AA20" s="7"/>
      <c r="AB20" s="7">
        <v>22032</v>
      </c>
      <c r="AC20" s="7"/>
      <c r="AD20" s="7"/>
      <c r="AE20" s="4">
        <f t="shared" si="0"/>
        <v>0</v>
      </c>
      <c r="AF20" s="4">
        <f t="shared" si="0"/>
        <v>22032</v>
      </c>
      <c r="AG20" s="4"/>
      <c r="AH20" s="4"/>
      <c r="AI20" s="4"/>
      <c r="AJ20" s="4"/>
      <c r="AK20" s="4"/>
      <c r="AL20" s="4"/>
      <c r="AM20" s="7"/>
      <c r="AN20" s="7"/>
      <c r="AO20" s="7"/>
      <c r="AP20" s="7"/>
      <c r="AQ20" s="14"/>
      <c r="AR20" s="14"/>
      <c r="AS20" s="14"/>
      <c r="AT20" s="14"/>
      <c r="AU20" s="14"/>
      <c r="AV20" s="14"/>
      <c r="AW20" s="14"/>
      <c r="AX20" s="7"/>
      <c r="AY20" s="7"/>
      <c r="AZ20" s="7"/>
      <c r="BA20" s="7"/>
      <c r="BB20" s="7"/>
      <c r="BC20" s="7"/>
      <c r="BD20" s="7"/>
      <c r="BE20" s="80">
        <v>488430</v>
      </c>
    </row>
    <row r="21" spans="1:57" s="77" customFormat="1" ht="31.7" hidden="1" customHeight="1">
      <c r="A21" s="72" t="s">
        <v>48</v>
      </c>
      <c r="B21" s="79" t="s">
        <v>49</v>
      </c>
      <c r="C21" s="72"/>
      <c r="D21" s="72"/>
      <c r="E21" s="72"/>
      <c r="F21" s="72"/>
      <c r="G21" s="72"/>
      <c r="H21" s="72"/>
      <c r="I21" s="2"/>
      <c r="J21" s="3"/>
      <c r="K21" s="3"/>
      <c r="L21" s="3"/>
      <c r="M21" s="3"/>
      <c r="N21" s="3"/>
      <c r="O21" s="3"/>
      <c r="P21" s="3"/>
      <c r="Q21" s="3"/>
      <c r="R21" s="3"/>
      <c r="S21" s="3">
        <v>150300</v>
      </c>
      <c r="T21" s="3"/>
      <c r="U21" s="3"/>
      <c r="V21" s="3"/>
      <c r="W21" s="3"/>
      <c r="X21" s="3">
        <v>13750</v>
      </c>
      <c r="Y21" s="3"/>
      <c r="Z21" s="3"/>
      <c r="AA21" s="3"/>
      <c r="AB21" s="3">
        <v>10975</v>
      </c>
      <c r="AC21" s="3"/>
      <c r="AD21" s="3"/>
      <c r="AE21" s="4">
        <f t="shared" si="0"/>
        <v>0</v>
      </c>
      <c r="AF21" s="4">
        <f t="shared" si="0"/>
        <v>24725</v>
      </c>
      <c r="AG21" s="4"/>
      <c r="AH21" s="4"/>
      <c r="AI21" s="4"/>
      <c r="AJ21" s="4"/>
      <c r="AK21" s="4"/>
      <c r="AL21" s="4"/>
      <c r="AM21" s="3"/>
      <c r="AN21" s="3"/>
      <c r="AO21" s="3"/>
      <c r="AP21" s="3"/>
      <c r="AQ21" s="12"/>
      <c r="AR21" s="12"/>
      <c r="AS21" s="12"/>
      <c r="AT21" s="12"/>
      <c r="AU21" s="12"/>
      <c r="AV21" s="12"/>
      <c r="AW21" s="12"/>
      <c r="AX21" s="3"/>
      <c r="AY21" s="3"/>
      <c r="AZ21" s="3"/>
      <c r="BA21" s="3"/>
      <c r="BB21" s="3"/>
      <c r="BC21" s="3"/>
      <c r="BD21" s="3"/>
      <c r="BE21" s="72">
        <v>60000</v>
      </c>
    </row>
    <row r="22" spans="1:57" s="77" customFormat="1" ht="26.45" hidden="1" customHeight="1">
      <c r="A22" s="72" t="s">
        <v>50</v>
      </c>
      <c r="B22" s="79" t="s">
        <v>51</v>
      </c>
      <c r="C22" s="72"/>
      <c r="D22" s="72"/>
      <c r="E22" s="72"/>
      <c r="F22" s="72"/>
      <c r="G22" s="72"/>
      <c r="H22" s="72"/>
      <c r="I22" s="2"/>
      <c r="J22" s="3"/>
      <c r="K22" s="3"/>
      <c r="L22" s="3"/>
      <c r="M22" s="3"/>
      <c r="N22" s="3"/>
      <c r="O22" s="3"/>
      <c r="P22" s="3"/>
      <c r="Q22" s="3"/>
      <c r="R22" s="3"/>
      <c r="S22" s="3">
        <v>109800</v>
      </c>
      <c r="T22" s="3"/>
      <c r="U22" s="3"/>
      <c r="V22" s="3"/>
      <c r="W22" s="3"/>
      <c r="X22" s="3">
        <v>11000</v>
      </c>
      <c r="Y22" s="3"/>
      <c r="Z22" s="3"/>
      <c r="AA22" s="3"/>
      <c r="AB22" s="3">
        <v>17000</v>
      </c>
      <c r="AC22" s="3"/>
      <c r="AD22" s="3"/>
      <c r="AE22" s="4">
        <f t="shared" si="0"/>
        <v>0</v>
      </c>
      <c r="AF22" s="4">
        <f t="shared" si="0"/>
        <v>28000</v>
      </c>
      <c r="AG22" s="4"/>
      <c r="AH22" s="4"/>
      <c r="AI22" s="4"/>
      <c r="AJ22" s="4"/>
      <c r="AK22" s="4"/>
      <c r="AL22" s="4"/>
      <c r="AM22" s="3"/>
      <c r="AN22" s="3"/>
      <c r="AO22" s="3"/>
      <c r="AP22" s="3"/>
      <c r="AQ22" s="12"/>
      <c r="AR22" s="12"/>
      <c r="AS22" s="12"/>
      <c r="AT22" s="12"/>
      <c r="AU22" s="12"/>
      <c r="AV22" s="12"/>
      <c r="AW22" s="12"/>
      <c r="AX22" s="3"/>
      <c r="AY22" s="3"/>
      <c r="AZ22" s="3"/>
      <c r="BA22" s="3"/>
      <c r="BB22" s="3"/>
      <c r="BC22" s="3"/>
      <c r="BD22" s="3"/>
      <c r="BE22" s="83">
        <v>17000</v>
      </c>
    </row>
    <row r="23" spans="1:57" s="78" customFormat="1" ht="54.75" hidden="1" customHeight="1">
      <c r="A23" s="75" t="s">
        <v>52</v>
      </c>
      <c r="B23" s="76" t="s">
        <v>53</v>
      </c>
      <c r="C23" s="75"/>
      <c r="D23" s="75"/>
      <c r="E23" s="75"/>
      <c r="F23" s="75"/>
      <c r="G23" s="75"/>
      <c r="H23" s="75"/>
      <c r="I23" s="5"/>
      <c r="J23" s="4"/>
      <c r="K23" s="4"/>
      <c r="L23" s="4"/>
      <c r="M23" s="4" t="s">
        <v>54</v>
      </c>
      <c r="N23" s="4"/>
      <c r="O23" s="4"/>
      <c r="P23" s="4"/>
      <c r="Q23" s="4"/>
      <c r="R23" s="4"/>
      <c r="S23" s="4"/>
      <c r="T23" s="4"/>
      <c r="U23" s="4"/>
      <c r="V23" s="4"/>
      <c r="W23" s="4"/>
      <c r="X23" s="4"/>
      <c r="Y23" s="4"/>
      <c r="Z23" s="4"/>
      <c r="AA23" s="4"/>
      <c r="AB23" s="4">
        <f>AB24+AB25+AB26</f>
        <v>152068</v>
      </c>
      <c r="AC23" s="4"/>
      <c r="AD23" s="4"/>
      <c r="AE23" s="4">
        <f t="shared" si="0"/>
        <v>0</v>
      </c>
      <c r="AF23" s="4">
        <f t="shared" si="0"/>
        <v>152068</v>
      </c>
      <c r="AG23" s="4"/>
      <c r="AH23" s="4"/>
      <c r="AI23" s="4"/>
      <c r="AJ23" s="4"/>
      <c r="AK23" s="4"/>
      <c r="AL23" s="4"/>
      <c r="AM23" s="4"/>
      <c r="AN23" s="4"/>
      <c r="AO23" s="4"/>
      <c r="AP23" s="4"/>
      <c r="AQ23" s="22"/>
      <c r="AR23" s="22"/>
      <c r="AS23" s="22"/>
      <c r="AT23" s="22"/>
      <c r="AU23" s="22"/>
      <c r="AV23" s="22"/>
      <c r="AW23" s="22"/>
      <c r="AX23" s="4"/>
      <c r="AY23" s="4"/>
      <c r="AZ23" s="4"/>
      <c r="BA23" s="4"/>
      <c r="BB23" s="4"/>
      <c r="BC23" s="4"/>
      <c r="BD23" s="4"/>
      <c r="BE23" s="83" t="s">
        <v>55</v>
      </c>
    </row>
    <row r="24" spans="1:57" s="77" customFormat="1" ht="31.7" hidden="1" customHeight="1">
      <c r="A24" s="72">
        <v>1</v>
      </c>
      <c r="B24" s="79" t="s">
        <v>56</v>
      </c>
      <c r="C24" s="72"/>
      <c r="D24" s="72"/>
      <c r="E24" s="72"/>
      <c r="F24" s="72"/>
      <c r="G24" s="72"/>
      <c r="H24" s="72"/>
      <c r="I24" s="2"/>
      <c r="J24" s="3"/>
      <c r="K24" s="3"/>
      <c r="L24" s="3"/>
      <c r="M24" s="3"/>
      <c r="N24" s="3"/>
      <c r="O24" s="3"/>
      <c r="P24" s="3"/>
      <c r="Q24" s="3"/>
      <c r="R24" s="3"/>
      <c r="S24" s="3"/>
      <c r="T24" s="3"/>
      <c r="U24" s="3"/>
      <c r="V24" s="3"/>
      <c r="W24" s="3"/>
      <c r="X24" s="3"/>
      <c r="Y24" s="3"/>
      <c r="Z24" s="3"/>
      <c r="AA24" s="3"/>
      <c r="AB24" s="3">
        <v>174100</v>
      </c>
      <c r="AC24" s="3"/>
      <c r="AD24" s="3"/>
      <c r="AE24" s="4">
        <f t="shared" si="0"/>
        <v>0</v>
      </c>
      <c r="AF24" s="4">
        <f t="shared" si="0"/>
        <v>174100</v>
      </c>
      <c r="AG24" s="4"/>
      <c r="AH24" s="4"/>
      <c r="AI24" s="4"/>
      <c r="AJ24" s="4"/>
      <c r="AK24" s="4"/>
      <c r="AL24" s="4"/>
      <c r="AM24" s="3"/>
      <c r="AN24" s="3"/>
      <c r="AO24" s="3"/>
      <c r="AP24" s="3"/>
      <c r="AQ24" s="12"/>
      <c r="AR24" s="12"/>
      <c r="AS24" s="12"/>
      <c r="AT24" s="12"/>
      <c r="AU24" s="12"/>
      <c r="AV24" s="12"/>
      <c r="AW24" s="12"/>
      <c r="AX24" s="3"/>
      <c r="AY24" s="3"/>
      <c r="AZ24" s="3"/>
      <c r="BA24" s="3"/>
      <c r="BB24" s="3"/>
      <c r="BC24" s="3"/>
      <c r="BD24" s="3"/>
      <c r="BE24" s="72"/>
    </row>
    <row r="25" spans="1:57" s="77" customFormat="1" ht="31.7" hidden="1" customHeight="1">
      <c r="A25" s="72">
        <v>2</v>
      </c>
      <c r="B25" s="84" t="s">
        <v>57</v>
      </c>
      <c r="C25" s="72"/>
      <c r="D25" s="72"/>
      <c r="E25" s="72"/>
      <c r="F25" s="72"/>
      <c r="G25" s="72"/>
      <c r="H25" s="72"/>
      <c r="I25" s="2"/>
      <c r="J25" s="3"/>
      <c r="K25" s="3"/>
      <c r="L25" s="3"/>
      <c r="M25" s="3"/>
      <c r="N25" s="3"/>
      <c r="O25" s="3"/>
      <c r="P25" s="3"/>
      <c r="Q25" s="3"/>
      <c r="R25" s="3"/>
      <c r="S25" s="3"/>
      <c r="T25" s="3"/>
      <c r="U25" s="3"/>
      <c r="V25" s="3"/>
      <c r="W25" s="3"/>
      <c r="X25" s="3"/>
      <c r="Y25" s="3"/>
      <c r="Z25" s="3"/>
      <c r="AA25" s="3"/>
      <c r="AB25" s="3">
        <v>20390</v>
      </c>
      <c r="AC25" s="3"/>
      <c r="AD25" s="3"/>
      <c r="AE25" s="4">
        <f t="shared" si="0"/>
        <v>0</v>
      </c>
      <c r="AF25" s="4">
        <f t="shared" si="0"/>
        <v>20390</v>
      </c>
      <c r="AG25" s="4"/>
      <c r="AH25" s="4"/>
      <c r="AI25" s="4"/>
      <c r="AJ25" s="4"/>
      <c r="AK25" s="4"/>
      <c r="AL25" s="4"/>
      <c r="AM25" s="3"/>
      <c r="AN25" s="3"/>
      <c r="AO25" s="3"/>
      <c r="AP25" s="3"/>
      <c r="AQ25" s="12"/>
      <c r="AR25" s="12"/>
      <c r="AS25" s="12"/>
      <c r="AT25" s="12"/>
      <c r="AU25" s="12"/>
      <c r="AV25" s="12"/>
      <c r="AW25" s="12"/>
      <c r="AX25" s="3"/>
      <c r="AY25" s="3"/>
      <c r="AZ25" s="3"/>
      <c r="BA25" s="3"/>
      <c r="BB25" s="3"/>
      <c r="BC25" s="3"/>
      <c r="BD25" s="3"/>
      <c r="BE25" s="72"/>
    </row>
    <row r="26" spans="1:57" s="77" customFormat="1" ht="38.25" hidden="1" customHeight="1">
      <c r="A26" s="72">
        <v>3</v>
      </c>
      <c r="B26" s="79" t="s">
        <v>58</v>
      </c>
      <c r="C26" s="72"/>
      <c r="D26" s="72"/>
      <c r="E26" s="72"/>
      <c r="F26" s="72"/>
      <c r="G26" s="72"/>
      <c r="H26" s="72"/>
      <c r="I26" s="2"/>
      <c r="J26" s="3"/>
      <c r="K26" s="3"/>
      <c r="L26" s="3"/>
      <c r="M26" s="3"/>
      <c r="N26" s="3"/>
      <c r="O26" s="3"/>
      <c r="P26" s="3"/>
      <c r="Q26" s="3"/>
      <c r="R26" s="3"/>
      <c r="S26" s="3"/>
      <c r="T26" s="3"/>
      <c r="U26" s="3"/>
      <c r="V26" s="3"/>
      <c r="W26" s="3"/>
      <c r="X26" s="3"/>
      <c r="Y26" s="3"/>
      <c r="Z26" s="3"/>
      <c r="AA26" s="3"/>
      <c r="AB26" s="3">
        <f>-22032-20390</f>
        <v>-42422</v>
      </c>
      <c r="AC26" s="3">
        <f>AB18+AB21+AB22</f>
        <v>538437</v>
      </c>
      <c r="AD26" s="3" t="e">
        <f>AC26-AB28</f>
        <v>#REF!</v>
      </c>
      <c r="AE26" s="4">
        <f t="shared" si="0"/>
        <v>0</v>
      </c>
      <c r="AF26" s="4">
        <f t="shared" si="0"/>
        <v>-42422</v>
      </c>
      <c r="AG26" s="4"/>
      <c r="AH26" s="4"/>
      <c r="AI26" s="4"/>
      <c r="AJ26" s="4"/>
      <c r="AK26" s="4"/>
      <c r="AL26" s="4"/>
      <c r="AM26" s="3"/>
      <c r="AN26" s="3"/>
      <c r="AO26" s="3"/>
      <c r="AP26" s="3"/>
      <c r="AQ26" s="12"/>
      <c r="AR26" s="12"/>
      <c r="AS26" s="12"/>
      <c r="AT26" s="12"/>
      <c r="AU26" s="12"/>
      <c r="AV26" s="12"/>
      <c r="AW26" s="12"/>
      <c r="AX26" s="3"/>
      <c r="AY26" s="3"/>
      <c r="AZ26" s="3"/>
      <c r="BA26" s="3"/>
      <c r="BB26" s="3"/>
      <c r="BC26" s="3"/>
      <c r="BD26" s="3"/>
      <c r="BE26" s="72"/>
    </row>
    <row r="27" spans="1:57" s="78" customFormat="1" ht="26.45" hidden="1" customHeight="1">
      <c r="A27" s="75"/>
      <c r="B27" s="76"/>
      <c r="C27" s="75"/>
      <c r="D27" s="75"/>
      <c r="E27" s="75"/>
      <c r="F27" s="75"/>
      <c r="G27" s="75"/>
      <c r="H27" s="75"/>
      <c r="I27" s="5"/>
      <c r="J27" s="4"/>
      <c r="K27" s="4"/>
      <c r="L27" s="4"/>
      <c r="M27" s="4"/>
      <c r="N27" s="4"/>
      <c r="O27" s="4"/>
      <c r="P27" s="4"/>
      <c r="Q27" s="4"/>
      <c r="R27" s="4"/>
      <c r="S27" s="4"/>
      <c r="T27" s="4"/>
      <c r="U27" s="4"/>
      <c r="V27" s="4"/>
      <c r="W27" s="4"/>
      <c r="X27" s="4"/>
      <c r="Y27" s="4"/>
      <c r="Z27" s="4"/>
      <c r="AA27" s="4"/>
      <c r="AB27" s="4"/>
      <c r="AC27" s="4"/>
      <c r="AD27" s="4"/>
      <c r="AE27" s="4">
        <f t="shared" si="0"/>
        <v>0</v>
      </c>
      <c r="AF27" s="4">
        <f t="shared" si="0"/>
        <v>0</v>
      </c>
      <c r="AG27" s="4"/>
      <c r="AH27" s="4"/>
      <c r="AI27" s="4"/>
      <c r="AJ27" s="4"/>
      <c r="AK27" s="4"/>
      <c r="AL27" s="4"/>
      <c r="AM27" s="4"/>
      <c r="AN27" s="4"/>
      <c r="AO27" s="4"/>
      <c r="AP27" s="4"/>
      <c r="AQ27" s="22"/>
      <c r="AR27" s="22"/>
      <c r="AS27" s="22"/>
      <c r="AT27" s="22"/>
      <c r="AU27" s="22"/>
      <c r="AV27" s="22"/>
      <c r="AW27" s="22"/>
      <c r="AX27" s="4"/>
      <c r="AY27" s="4"/>
      <c r="AZ27" s="4"/>
      <c r="BA27" s="4"/>
      <c r="BB27" s="4"/>
      <c r="BC27" s="4"/>
      <c r="BD27" s="4"/>
      <c r="BE27" s="83"/>
    </row>
    <row r="28" spans="1:57" s="78" customFormat="1" ht="26.45" hidden="1" customHeight="1">
      <c r="A28" s="75" t="s">
        <v>59</v>
      </c>
      <c r="B28" s="76" t="s">
        <v>60</v>
      </c>
      <c r="C28" s="75"/>
      <c r="D28" s="75"/>
      <c r="E28" s="75"/>
      <c r="F28" s="75"/>
      <c r="G28" s="75"/>
      <c r="H28" s="75"/>
      <c r="I28" s="5"/>
      <c r="J28" s="4" t="e">
        <f t="shared" ref="J28:O28" si="1">J30+J306</f>
        <v>#REF!</v>
      </c>
      <c r="K28" s="4" t="e">
        <f t="shared" si="1"/>
        <v>#REF!</v>
      </c>
      <c r="L28" s="4" t="e">
        <f t="shared" si="1"/>
        <v>#REF!</v>
      </c>
      <c r="M28" s="4" t="e">
        <f t="shared" si="1"/>
        <v>#REF!</v>
      </c>
      <c r="N28" s="4" t="e">
        <f t="shared" si="1"/>
        <v>#REF!</v>
      </c>
      <c r="O28" s="4" t="e">
        <f t="shared" si="1"/>
        <v>#REF!</v>
      </c>
      <c r="P28" s="4"/>
      <c r="Q28" s="4"/>
      <c r="R28" s="4" t="e">
        <f>R30+R306</f>
        <v>#REF!</v>
      </c>
      <c r="S28" s="4" t="e">
        <f>S30+S306</f>
        <v>#REF!</v>
      </c>
      <c r="T28" s="4" t="e">
        <f>T30+T306</f>
        <v>#REF!</v>
      </c>
      <c r="U28" s="4" t="e">
        <f>U30+U306</f>
        <v>#REF!</v>
      </c>
      <c r="V28" s="4"/>
      <c r="W28" s="4" t="e">
        <f t="shared" ref="W28:AD28" si="2">W30+W306</f>
        <v>#REF!</v>
      </c>
      <c r="X28" s="4" t="e">
        <f t="shared" si="2"/>
        <v>#REF!</v>
      </c>
      <c r="Y28" s="4" t="e">
        <f t="shared" si="2"/>
        <v>#REF!</v>
      </c>
      <c r="Z28" s="4" t="e">
        <f t="shared" si="2"/>
        <v>#REF!</v>
      </c>
      <c r="AA28" s="4" t="e">
        <f t="shared" si="2"/>
        <v>#REF!</v>
      </c>
      <c r="AB28" s="4" t="e">
        <f t="shared" si="2"/>
        <v>#REF!</v>
      </c>
      <c r="AC28" s="4" t="e">
        <f t="shared" si="2"/>
        <v>#REF!</v>
      </c>
      <c r="AD28" s="4" t="e">
        <f t="shared" si="2"/>
        <v>#REF!</v>
      </c>
      <c r="AE28" s="4" t="e">
        <f t="shared" si="0"/>
        <v>#REF!</v>
      </c>
      <c r="AF28" s="4" t="e">
        <f t="shared" si="0"/>
        <v>#REF!</v>
      </c>
      <c r="AG28" s="4"/>
      <c r="AH28" s="4"/>
      <c r="AI28" s="4"/>
      <c r="AJ28" s="4"/>
      <c r="AK28" s="4"/>
      <c r="AL28" s="4"/>
      <c r="AM28" s="4"/>
      <c r="AN28" s="4"/>
      <c r="AO28" s="4"/>
      <c r="AP28" s="4"/>
      <c r="AQ28" s="22"/>
      <c r="AR28" s="22"/>
      <c r="AS28" s="22"/>
      <c r="AT28" s="22"/>
      <c r="AU28" s="22"/>
      <c r="AV28" s="22"/>
      <c r="AW28" s="22"/>
      <c r="AX28" s="4"/>
      <c r="AY28" s="4"/>
      <c r="AZ28" s="4"/>
      <c r="BA28" s="4"/>
      <c r="BB28" s="4"/>
      <c r="BC28" s="4"/>
      <c r="BD28" s="4"/>
      <c r="BE28" s="72"/>
    </row>
    <row r="29" spans="1:57" s="78" customFormat="1" ht="26.45" hidden="1" customHeight="1">
      <c r="A29" s="75"/>
      <c r="B29" s="76" t="s">
        <v>61</v>
      </c>
      <c r="C29" s="75"/>
      <c r="D29" s="75"/>
      <c r="E29" s="75"/>
      <c r="F29" s="75"/>
      <c r="G29" s="75"/>
      <c r="H29" s="75"/>
      <c r="I29" s="5"/>
      <c r="J29" s="4"/>
      <c r="K29" s="4"/>
      <c r="L29" s="4"/>
      <c r="M29" s="4"/>
      <c r="N29" s="4"/>
      <c r="O29" s="4"/>
      <c r="P29" s="4"/>
      <c r="Q29" s="4"/>
      <c r="R29" s="4"/>
      <c r="S29" s="4"/>
      <c r="T29" s="4"/>
      <c r="U29" s="4"/>
      <c r="V29" s="4"/>
      <c r="W29" s="4"/>
      <c r="X29" s="4">
        <v>126000</v>
      </c>
      <c r="Y29" s="4"/>
      <c r="Z29" s="4"/>
      <c r="AA29" s="4"/>
      <c r="AB29" s="4">
        <v>108000</v>
      </c>
      <c r="AC29" s="4"/>
      <c r="AD29" s="4"/>
      <c r="AE29" s="4">
        <f t="shared" si="0"/>
        <v>0</v>
      </c>
      <c r="AF29" s="4">
        <f t="shared" si="0"/>
        <v>234000</v>
      </c>
      <c r="AG29" s="4"/>
      <c r="AH29" s="4"/>
      <c r="AI29" s="4"/>
      <c r="AJ29" s="4"/>
      <c r="AK29" s="4"/>
      <c r="AL29" s="4"/>
      <c r="AM29" s="4"/>
      <c r="AN29" s="4"/>
      <c r="AO29" s="4"/>
      <c r="AP29" s="4"/>
      <c r="AQ29" s="22"/>
      <c r="AR29" s="22"/>
      <c r="AS29" s="22"/>
      <c r="AT29" s="22"/>
      <c r="AU29" s="22"/>
      <c r="AV29" s="22"/>
      <c r="AW29" s="22"/>
      <c r="AX29" s="4"/>
      <c r="AY29" s="4"/>
      <c r="AZ29" s="4"/>
      <c r="BA29" s="4"/>
      <c r="BB29" s="4"/>
      <c r="BC29" s="4"/>
      <c r="BD29" s="4"/>
      <c r="BE29" s="72"/>
    </row>
    <row r="30" spans="1:57" s="89" customFormat="1" ht="55.5" hidden="1" customHeight="1">
      <c r="A30" s="85" t="s">
        <v>62</v>
      </c>
      <c r="B30" s="86" t="s">
        <v>63</v>
      </c>
      <c r="C30" s="87"/>
      <c r="D30" s="87"/>
      <c r="E30" s="87"/>
      <c r="F30" s="87"/>
      <c r="G30" s="88"/>
      <c r="H30" s="87"/>
      <c r="I30" s="8"/>
      <c r="J30" s="4" t="e">
        <f>J59+J79+J102+J119+J129+J135+J155+J174+J191+J206+J218+J229+J234+J247+J282+J289+#REF!</f>
        <v>#REF!</v>
      </c>
      <c r="K30" s="4" t="e">
        <f>K59+K79+K102+K119+K129+K135+K155+K174+K191+K206+K218+K229+K234+K247+K282+K289+#REF!</f>
        <v>#REF!</v>
      </c>
      <c r="L30" s="4" t="e">
        <f>L59+L79+L102+L119+L129+L135+L155+L174+L191+L206+L218+L229+L234+L247+L282+L289+#REF!</f>
        <v>#REF!</v>
      </c>
      <c r="M30" s="4" t="e">
        <f>M59+M79+M102+M119+M129+M135+M155+M174+M191+M206+M218+M229+M234+M247+M282+M289+#REF!</f>
        <v>#REF!</v>
      </c>
      <c r="N30" s="4" t="e">
        <f>N59+N79+N102+N119+N129+N135+N155+N174+N191+N206+N218+N229+N234+N247+N282+N289+#REF!</f>
        <v>#REF!</v>
      </c>
      <c r="O30" s="4" t="e">
        <f>O59+O79+O102+O119+O129+O135+O155+O174+O191+O206+O218+O229+O234+O247+O282+O289+#REF!</f>
        <v>#REF!</v>
      </c>
      <c r="P30" s="4"/>
      <c r="Q30" s="4"/>
      <c r="R30" s="4" t="e">
        <f>R59+R79+R102+R119+R129+R135+R155+R174+R191+R206+R218+R229+R234+R247+R282+R289+#REF!</f>
        <v>#REF!</v>
      </c>
      <c r="S30" s="4" t="e">
        <f>S59+S79+S102+S119+S129+S135+S155+S174+S191+S206+S218+S229+S234+S247+S282+S289+#REF!</f>
        <v>#REF!</v>
      </c>
      <c r="T30" s="4" t="e">
        <f>T59+T79+T102+T119+T129+T135+T155+T174+T191+T206+T218+T229+T234+T247+T282+T289+#REF!</f>
        <v>#REF!</v>
      </c>
      <c r="U30" s="4" t="e">
        <f>U59+U79+U102+U119+U129+U135+U155+U174+U191+U206+U218+U229+U234+U247+U282+U289+#REF!</f>
        <v>#REF!</v>
      </c>
      <c r="V30" s="4"/>
      <c r="W30" s="4" t="e">
        <f>W59+W79+W102+W119+W129+W135+W155+W174+W191+W206+W218+W229+W234+W247+W282+W289+#REF!</f>
        <v>#REF!</v>
      </c>
      <c r="X30" s="4" t="e">
        <f>X59+X79+X102+X119+X129+X135+X155+X174+X191+X206+X218+X229+X234+X247+X282+X289+#REF!-2580</f>
        <v>#REF!</v>
      </c>
      <c r="Y30" s="4" t="e">
        <f>Y59+Y79+Y102+Y119+Y129+Y135+Y155+Y174+Y191+Y206+Y218+Y229+Y234+Y247+Y282+Y289+#REF!</f>
        <v>#REF!</v>
      </c>
      <c r="Z30" s="4" t="e">
        <f>Z59+Z79+Z102+Z119+Z129+Z135+Z155+Z174+Z191+Z206+Z218+Z229+Z234+Z247+Z282+Z289+#REF!</f>
        <v>#REF!</v>
      </c>
      <c r="AA30" s="4" t="e">
        <f>AA59+AA79+AA102+AA119+AA129+AA135+AA155+AA174+AA191+AA206+AA218+AA229+AA234+AA247+AA282+AA289+#REF!</f>
        <v>#REF!</v>
      </c>
      <c r="AB30" s="4" t="e">
        <f>AB59+AB79+AB102+AB119+AB129+AB135+AB155+AB174+AB191+AB206+AB218+AB229+AB234+AB247+AB282+AB289+#REF!</f>
        <v>#REF!</v>
      </c>
      <c r="AC30" s="4" t="e">
        <f>AC59+AC79+AC102+AC119+AC129+AC135+AC155+AC174+AC191+AC206+AC218+AC229+AC234+AC247+AC282+AC289+#REF!</f>
        <v>#REF!</v>
      </c>
      <c r="AD30" s="4" t="e">
        <f>AD59+AD79+AD102+AD119+AD129+AD135+AD155+AD174+AD191+AD206+AD218+AD229+AD234+AD247+AD282+AD289+#REF!</f>
        <v>#REF!</v>
      </c>
      <c r="AE30" s="4" t="e">
        <f t="shared" si="0"/>
        <v>#REF!</v>
      </c>
      <c r="AF30" s="4" t="e">
        <f t="shared" si="0"/>
        <v>#REF!</v>
      </c>
      <c r="AG30" s="4"/>
      <c r="AH30" s="4"/>
      <c r="AI30" s="4"/>
      <c r="AJ30" s="4"/>
      <c r="AK30" s="4"/>
      <c r="AL30" s="4"/>
      <c r="AM30" s="4"/>
      <c r="AN30" s="4"/>
      <c r="AO30" s="4"/>
      <c r="AP30" s="4"/>
      <c r="AQ30" s="22"/>
      <c r="AR30" s="22"/>
      <c r="AS30" s="22"/>
      <c r="AT30" s="22"/>
      <c r="AU30" s="22"/>
      <c r="AV30" s="22"/>
      <c r="AW30" s="22"/>
      <c r="AX30" s="4"/>
      <c r="AY30" s="4"/>
      <c r="AZ30" s="4"/>
      <c r="BA30" s="4"/>
      <c r="BB30" s="4"/>
      <c r="BC30" s="4"/>
      <c r="BD30" s="4"/>
      <c r="BE30" s="75"/>
    </row>
    <row r="31" spans="1:57" s="89" customFormat="1" ht="14.25" hidden="1">
      <c r="A31" s="85"/>
      <c r="B31" s="86"/>
      <c r="C31" s="87"/>
      <c r="D31" s="87"/>
      <c r="E31" s="87"/>
      <c r="F31" s="87"/>
      <c r="G31" s="87"/>
      <c r="H31" s="87"/>
      <c r="I31" s="8"/>
      <c r="J31" s="4"/>
      <c r="K31" s="4"/>
      <c r="L31" s="4"/>
      <c r="M31" s="4"/>
      <c r="N31" s="4"/>
      <c r="O31" s="4"/>
      <c r="P31" s="4"/>
      <c r="Q31" s="4"/>
      <c r="R31" s="4"/>
      <c r="S31" s="4">
        <v>3399692.1007969999</v>
      </c>
      <c r="T31" s="4">
        <v>169799.89920300012</v>
      </c>
      <c r="U31" s="4"/>
      <c r="V31" s="4"/>
      <c r="W31" s="4"/>
      <c r="X31" s="4">
        <v>618630.55650832993</v>
      </c>
      <c r="Y31" s="4">
        <v>24731.3</v>
      </c>
      <c r="Z31" s="4">
        <v>219248.52</v>
      </c>
      <c r="AA31" s="4">
        <v>800685.25575700006</v>
      </c>
      <c r="AB31" s="4">
        <v>506437.25575700001</v>
      </c>
      <c r="AC31" s="4">
        <v>23670.793259999999</v>
      </c>
      <c r="AD31" s="4">
        <v>26722.310333333335</v>
      </c>
      <c r="AE31" s="4">
        <f t="shared" si="0"/>
        <v>800685.25575700006</v>
      </c>
      <c r="AF31" s="4">
        <f t="shared" si="0"/>
        <v>1125067.81226533</v>
      </c>
      <c r="AG31" s="4"/>
      <c r="AH31" s="4"/>
      <c r="AI31" s="4"/>
      <c r="AJ31" s="4"/>
      <c r="AK31" s="4"/>
      <c r="AL31" s="4"/>
      <c r="AM31" s="4"/>
      <c r="AN31" s="4"/>
      <c r="AO31" s="4"/>
      <c r="AP31" s="4"/>
      <c r="AQ31" s="22"/>
      <c r="AR31" s="22"/>
      <c r="AS31" s="22"/>
      <c r="AT31" s="22"/>
      <c r="AU31" s="22"/>
      <c r="AV31" s="22"/>
      <c r="AW31" s="22"/>
      <c r="AX31" s="4"/>
      <c r="AY31" s="4"/>
      <c r="AZ31" s="4"/>
      <c r="BA31" s="4"/>
      <c r="BB31" s="4"/>
      <c r="BC31" s="4"/>
      <c r="BD31" s="4"/>
      <c r="BE31" s="75">
        <f>AB17-AB31</f>
        <v>31999.744242999994</v>
      </c>
    </row>
    <row r="32" spans="1:57" s="89" customFormat="1" ht="28.5" hidden="1" customHeight="1">
      <c r="A32" s="85" t="s">
        <v>64</v>
      </c>
      <c r="B32" s="86" t="s">
        <v>65</v>
      </c>
      <c r="C32" s="87"/>
      <c r="D32" s="87"/>
      <c r="E32" s="87"/>
      <c r="F32" s="87"/>
      <c r="G32" s="88"/>
      <c r="H32" s="87"/>
      <c r="I32" s="8"/>
      <c r="J32" s="4"/>
      <c r="K32" s="4"/>
      <c r="L32" s="4"/>
      <c r="M32" s="4"/>
      <c r="N32" s="4"/>
      <c r="O32" s="4"/>
      <c r="P32" s="4"/>
      <c r="Q32" s="4"/>
      <c r="R32" s="4">
        <v>4900697.9007970002</v>
      </c>
      <c r="S32" s="4">
        <v>2845795.5713</v>
      </c>
      <c r="T32" s="4">
        <v>83.707450172703929</v>
      </c>
      <c r="U32" s="4"/>
      <c r="V32" s="4"/>
      <c r="W32" s="4"/>
      <c r="X32" s="4">
        <v>497526.74829999998</v>
      </c>
      <c r="Y32" s="4">
        <v>24731.3</v>
      </c>
      <c r="Z32" s="4">
        <v>215143.52</v>
      </c>
      <c r="AA32" s="4">
        <v>742388.88626000006</v>
      </c>
      <c r="AB32" s="4">
        <v>454236.88626</v>
      </c>
      <c r="AC32" s="4">
        <v>17670.793259999999</v>
      </c>
      <c r="AD32" s="4">
        <v>26722.310333333335</v>
      </c>
      <c r="AE32" s="4">
        <f t="shared" si="0"/>
        <v>742388.88626000006</v>
      </c>
      <c r="AF32" s="4">
        <f t="shared" si="0"/>
        <v>951763.63455999992</v>
      </c>
      <c r="AG32" s="4"/>
      <c r="AH32" s="4"/>
      <c r="AI32" s="4"/>
      <c r="AJ32" s="4"/>
      <c r="AK32" s="4"/>
      <c r="AL32" s="4"/>
      <c r="AM32" s="4"/>
      <c r="AN32" s="4"/>
      <c r="AO32" s="4"/>
      <c r="AP32" s="4"/>
      <c r="AQ32" s="22"/>
      <c r="AR32" s="22"/>
      <c r="AS32" s="22"/>
      <c r="AT32" s="22"/>
      <c r="AU32" s="22"/>
      <c r="AV32" s="22"/>
      <c r="AW32" s="22"/>
      <c r="AX32" s="4"/>
      <c r="AY32" s="4"/>
      <c r="AZ32" s="4"/>
      <c r="BA32" s="4"/>
      <c r="BB32" s="4"/>
      <c r="BC32" s="4"/>
      <c r="BD32" s="4"/>
      <c r="BE32" s="90">
        <f>AB32/AB31*100</f>
        <v>89.692628473990681</v>
      </c>
    </row>
    <row r="33" spans="1:58" s="89" customFormat="1" ht="40.700000000000003" hidden="1" customHeight="1">
      <c r="A33" s="85" t="s">
        <v>66</v>
      </c>
      <c r="B33" s="91" t="s">
        <v>67</v>
      </c>
      <c r="C33" s="87"/>
      <c r="D33" s="87"/>
      <c r="E33" s="87"/>
      <c r="F33" s="87"/>
      <c r="G33" s="92" t="e">
        <f>G34+G35</f>
        <v>#REF!</v>
      </c>
      <c r="H33" s="87"/>
      <c r="I33" s="8"/>
      <c r="J33" s="4"/>
      <c r="K33" s="4"/>
      <c r="L33" s="4"/>
      <c r="M33" s="4">
        <v>573672</v>
      </c>
      <c r="N33" s="4">
        <v>3011019.6359999999</v>
      </c>
      <c r="O33" s="4">
        <v>799116</v>
      </c>
      <c r="P33" s="4"/>
      <c r="Q33" s="4"/>
      <c r="R33" s="4">
        <v>1546534.9613000001</v>
      </c>
      <c r="S33" s="4">
        <v>918726.86129999999</v>
      </c>
      <c r="T33" s="4">
        <v>27.023825513040435</v>
      </c>
      <c r="U33" s="4">
        <v>292486.98800000001</v>
      </c>
      <c r="V33" s="4"/>
      <c r="W33" s="4">
        <v>567780.6483</v>
      </c>
      <c r="X33" s="4">
        <v>436373.6483</v>
      </c>
      <c r="Y33" s="4">
        <v>24731.3</v>
      </c>
      <c r="Z33" s="4">
        <v>215143.52</v>
      </c>
      <c r="AA33" s="4">
        <v>344304.88626</v>
      </c>
      <c r="AB33" s="4">
        <v>206583.88626</v>
      </c>
      <c r="AC33" s="4">
        <v>14170.79326</v>
      </c>
      <c r="AD33" s="4">
        <v>26688.977000000003</v>
      </c>
      <c r="AE33" s="4">
        <f t="shared" si="0"/>
        <v>912085.53456000006</v>
      </c>
      <c r="AF33" s="4">
        <f t="shared" si="0"/>
        <v>642957.53456000006</v>
      </c>
      <c r="AG33" s="4"/>
      <c r="AH33" s="4"/>
      <c r="AI33" s="4"/>
      <c r="AJ33" s="4"/>
      <c r="AK33" s="4"/>
      <c r="AL33" s="4"/>
      <c r="AM33" s="4"/>
      <c r="AN33" s="4"/>
      <c r="AO33" s="4"/>
      <c r="AP33" s="4"/>
      <c r="AQ33" s="22"/>
      <c r="AR33" s="22"/>
      <c r="AS33" s="22"/>
      <c r="AT33" s="22"/>
      <c r="AU33" s="22"/>
      <c r="AV33" s="22"/>
      <c r="AW33" s="22"/>
      <c r="AX33" s="4"/>
      <c r="AY33" s="4"/>
      <c r="AZ33" s="4"/>
      <c r="BA33" s="4"/>
      <c r="BB33" s="4"/>
      <c r="BC33" s="4"/>
      <c r="BD33" s="4"/>
      <c r="BE33" s="90">
        <f>AB33/AB31*100</f>
        <v>40.791605260400431</v>
      </c>
    </row>
    <row r="34" spans="1:58" s="89" customFormat="1" ht="39.200000000000003" hidden="1" customHeight="1">
      <c r="A34" s="85" t="s">
        <v>68</v>
      </c>
      <c r="B34" s="93" t="s">
        <v>69</v>
      </c>
      <c r="C34" s="87"/>
      <c r="D34" s="87"/>
      <c r="E34" s="87"/>
      <c r="F34" s="87"/>
      <c r="G34" s="92" t="e">
        <f>#REF!+#REF!+#REF!+#REF!+#REF!+#REF!+#REF!+#REF!+#REF!+#REF!+#REF!+#REF!+#REF!</f>
        <v>#REF!</v>
      </c>
      <c r="H34" s="75" t="e">
        <f>#REF!+#REF!+#REF!+#REF!+#REF!+#REF!+#REF!+#REF!+#REF!+#REF!+#REF!+#REF!+#REF!</f>
        <v>#REF!</v>
      </c>
      <c r="I34" s="5" t="e">
        <f>#REF!+#REF!+#REF!+#REF!+#REF!+#REF!+#REF!+#REF!+#REF!+#REF!+#REF!+#REF!+#REF!</f>
        <v>#REF!</v>
      </c>
      <c r="J34" s="4">
        <v>2398135.7139999997</v>
      </c>
      <c r="K34" s="4">
        <v>931603.5</v>
      </c>
      <c r="L34" s="4">
        <v>1980181.327</v>
      </c>
      <c r="M34" s="4">
        <v>480561</v>
      </c>
      <c r="N34" s="4">
        <v>1786790.327</v>
      </c>
      <c r="O34" s="4">
        <v>575629</v>
      </c>
      <c r="P34" s="4"/>
      <c r="Q34" s="4"/>
      <c r="R34" s="4">
        <v>372285.96130000002</v>
      </c>
      <c r="S34" s="4">
        <v>324239.96130000002</v>
      </c>
      <c r="T34" s="4">
        <v>9.5373331374328725</v>
      </c>
      <c r="U34" s="4">
        <v>235222.98800000001</v>
      </c>
      <c r="V34" s="4"/>
      <c r="W34" s="4">
        <v>236073.98830000003</v>
      </c>
      <c r="X34" s="4">
        <v>229072.98830000003</v>
      </c>
      <c r="Y34" s="4">
        <v>24231.3</v>
      </c>
      <c r="Z34" s="4">
        <v>178773.52</v>
      </c>
      <c r="AA34" s="4">
        <v>82388.616259999995</v>
      </c>
      <c r="AB34" s="4">
        <v>55478.616259999995</v>
      </c>
      <c r="AC34" s="4">
        <v>10697.79326</v>
      </c>
      <c r="AD34" s="4">
        <v>19200.847000000002</v>
      </c>
      <c r="AE34" s="4">
        <f t="shared" si="0"/>
        <v>318462.60456000001</v>
      </c>
      <c r="AF34" s="4">
        <f t="shared" si="0"/>
        <v>284551.60456000001</v>
      </c>
      <c r="AG34" s="4"/>
      <c r="AH34" s="4"/>
      <c r="AI34" s="4"/>
      <c r="AJ34" s="4"/>
      <c r="AK34" s="4"/>
      <c r="AL34" s="4"/>
      <c r="AM34" s="4"/>
      <c r="AN34" s="4"/>
      <c r="AO34" s="4"/>
      <c r="AP34" s="4"/>
      <c r="AQ34" s="22"/>
      <c r="AR34" s="22"/>
      <c r="AS34" s="22"/>
      <c r="AT34" s="22"/>
      <c r="AU34" s="22"/>
      <c r="AV34" s="22"/>
      <c r="AW34" s="22"/>
      <c r="AX34" s="4"/>
      <c r="AY34" s="4"/>
      <c r="AZ34" s="4"/>
      <c r="BA34" s="4"/>
      <c r="BB34" s="4"/>
      <c r="BC34" s="4"/>
      <c r="BD34" s="4"/>
      <c r="BE34" s="90" t="e">
        <f>AB34/AB30*100</f>
        <v>#REF!</v>
      </c>
    </row>
    <row r="35" spans="1:58" s="89" customFormat="1" ht="42" hidden="1" customHeight="1">
      <c r="A35" s="85" t="s">
        <v>70</v>
      </c>
      <c r="B35" s="93" t="s">
        <v>71</v>
      </c>
      <c r="C35" s="87"/>
      <c r="D35" s="87"/>
      <c r="E35" s="87"/>
      <c r="F35" s="87"/>
      <c r="G35" s="92" t="e">
        <f>#REF!+#REF!+#REF!+#REF!+#REF!+#REF!+#REF!+#REF!+#REF!+#REF!+#REF!+#REF!</f>
        <v>#REF!</v>
      </c>
      <c r="H35" s="75" t="e">
        <f>#REF!+#REF!+#REF!+#REF!+#REF!+#REF!+#REF!+#REF!+#REF!+#REF!+#REF!+#REF!</f>
        <v>#REF!</v>
      </c>
      <c r="I35" s="5" t="e">
        <f>#REF!+#REF!+#REF!+#REF!+#REF!+#REF!+#REF!+#REF!+#REF!+#REF!+#REF!+#REF!</f>
        <v>#REF!</v>
      </c>
      <c r="J35" s="4">
        <v>3974435.0219999999</v>
      </c>
      <c r="K35" s="4">
        <v>894540.9</v>
      </c>
      <c r="L35" s="4">
        <v>1541069.3089999999</v>
      </c>
      <c r="M35" s="4">
        <v>93111</v>
      </c>
      <c r="N35" s="4">
        <v>1224229.3089999999</v>
      </c>
      <c r="O35" s="4">
        <v>223487</v>
      </c>
      <c r="P35" s="4"/>
      <c r="Q35" s="4"/>
      <c r="R35" s="4">
        <v>1174249</v>
      </c>
      <c r="S35" s="4">
        <v>594486.9</v>
      </c>
      <c r="T35" s="4">
        <v>17.486492375607565</v>
      </c>
      <c r="U35" s="4">
        <v>57264</v>
      </c>
      <c r="V35" s="4"/>
      <c r="W35" s="4">
        <v>331706.66000000003</v>
      </c>
      <c r="X35" s="4">
        <v>207300.66</v>
      </c>
      <c r="Y35" s="4">
        <v>500</v>
      </c>
      <c r="Z35" s="4">
        <v>36370</v>
      </c>
      <c r="AA35" s="4">
        <v>261916.27000000002</v>
      </c>
      <c r="AB35" s="4">
        <v>151105.26999999999</v>
      </c>
      <c r="AC35" s="4">
        <v>3473</v>
      </c>
      <c r="AD35" s="4">
        <v>7488.13</v>
      </c>
      <c r="AE35" s="4">
        <f t="shared" si="0"/>
        <v>593622.93000000005</v>
      </c>
      <c r="AF35" s="4">
        <f t="shared" si="0"/>
        <v>358405.93</v>
      </c>
      <c r="AG35" s="4"/>
      <c r="AH35" s="4"/>
      <c r="AI35" s="4"/>
      <c r="AJ35" s="4"/>
      <c r="AK35" s="4"/>
      <c r="AL35" s="4"/>
      <c r="AM35" s="4"/>
      <c r="AN35" s="4"/>
      <c r="AO35" s="4"/>
      <c r="AP35" s="4"/>
      <c r="AQ35" s="22"/>
      <c r="AR35" s="22"/>
      <c r="AS35" s="22"/>
      <c r="AT35" s="22"/>
      <c r="AU35" s="22"/>
      <c r="AV35" s="22"/>
      <c r="AW35" s="22"/>
      <c r="AX35" s="4"/>
      <c r="AY35" s="4"/>
      <c r="AZ35" s="4"/>
      <c r="BA35" s="4"/>
      <c r="BB35" s="4"/>
      <c r="BC35" s="4"/>
      <c r="BD35" s="4"/>
      <c r="BE35" s="90" t="e">
        <f>AB35/AB30*100</f>
        <v>#REF!</v>
      </c>
    </row>
    <row r="36" spans="1:58" s="89" customFormat="1" ht="34.5" hidden="1" customHeight="1">
      <c r="A36" s="85" t="s">
        <v>72</v>
      </c>
      <c r="B36" s="91" t="s">
        <v>73</v>
      </c>
      <c r="C36" s="87"/>
      <c r="D36" s="87"/>
      <c r="E36" s="87"/>
      <c r="F36" s="87"/>
      <c r="G36" s="92" t="e">
        <f>#REF!+#REF!+#REF!+#REF!+#REF!+#REF!+G159+#REF!+#REF!+#REF!+#REF!+G230+G235+#REF!</f>
        <v>#REF!</v>
      </c>
      <c r="H36" s="88" t="e">
        <f>#REF!+#REF!+#REF!+#REF!+#REF!+#REF!+H159+#REF!+#REF!+#REF!+#REF!+H230+H235+#REF!</f>
        <v>#REF!</v>
      </c>
      <c r="I36" s="5" t="e">
        <f>#REF!+#REF!+#REF!+#REF!+#REF!+#REF!+I159+#REF!+#REF!+#REF!+#REF!+I230+I235+#REF!</f>
        <v>#REF!</v>
      </c>
      <c r="J36" s="4">
        <v>1059034.8999999999</v>
      </c>
      <c r="K36" s="4">
        <v>815011.9</v>
      </c>
      <c r="L36" s="4">
        <v>5000</v>
      </c>
      <c r="M36" s="4">
        <v>0</v>
      </c>
      <c r="N36" s="4">
        <v>28595</v>
      </c>
      <c r="O36" s="4">
        <v>5000</v>
      </c>
      <c r="P36" s="4"/>
      <c r="Q36" s="4"/>
      <c r="R36" s="4">
        <v>2155351.4099999997</v>
      </c>
      <c r="S36" s="4">
        <v>1927068.71</v>
      </c>
      <c r="T36" s="4">
        <v>56.683624659663487</v>
      </c>
      <c r="U36" s="4">
        <v>86793</v>
      </c>
      <c r="V36" s="4"/>
      <c r="W36" s="4">
        <v>64153.1</v>
      </c>
      <c r="X36" s="4">
        <v>61153.1</v>
      </c>
      <c r="Y36" s="4">
        <v>0</v>
      </c>
      <c r="Z36" s="4">
        <v>0</v>
      </c>
      <c r="AA36" s="4">
        <v>398084</v>
      </c>
      <c r="AB36" s="4">
        <v>247653</v>
      </c>
      <c r="AC36" s="4">
        <v>3500</v>
      </c>
      <c r="AD36" s="4">
        <v>33.333333333333329</v>
      </c>
      <c r="AE36" s="4">
        <f t="shared" si="0"/>
        <v>462237.1</v>
      </c>
      <c r="AF36" s="4">
        <f t="shared" si="0"/>
        <v>308806.09999999998</v>
      </c>
      <c r="AG36" s="4"/>
      <c r="AH36" s="4"/>
      <c r="AI36" s="4"/>
      <c r="AJ36" s="4"/>
      <c r="AK36" s="4"/>
      <c r="AL36" s="4"/>
      <c r="AM36" s="4"/>
      <c r="AN36" s="4"/>
      <c r="AO36" s="4"/>
      <c r="AP36" s="4"/>
      <c r="AQ36" s="22"/>
      <c r="AR36" s="22"/>
      <c r="AS36" s="22"/>
      <c r="AT36" s="22"/>
      <c r="AU36" s="22"/>
      <c r="AV36" s="22"/>
      <c r="AW36" s="22"/>
      <c r="AX36" s="4"/>
      <c r="AY36" s="4"/>
      <c r="AZ36" s="4"/>
      <c r="BA36" s="4"/>
      <c r="BB36" s="4"/>
      <c r="BC36" s="4"/>
      <c r="BD36" s="4"/>
      <c r="BE36" s="90" t="e">
        <f>AB36/AB30*100</f>
        <v>#REF!</v>
      </c>
    </row>
    <row r="37" spans="1:58" s="89" customFormat="1" ht="24" hidden="1" customHeight="1">
      <c r="A37" s="94" t="s">
        <v>74</v>
      </c>
      <c r="B37" s="95" t="s">
        <v>75</v>
      </c>
      <c r="C37" s="87"/>
      <c r="D37" s="87"/>
      <c r="E37" s="87"/>
      <c r="F37" s="87"/>
      <c r="G37" s="91" t="e">
        <f>SUM(G34:G36)</f>
        <v>#REF!</v>
      </c>
      <c r="H37" s="87"/>
      <c r="I37" s="8"/>
      <c r="J37" s="4">
        <v>2940880.7795480001</v>
      </c>
      <c r="K37" s="4">
        <v>218815.94057599999</v>
      </c>
      <c r="L37" s="4">
        <v>808171.99</v>
      </c>
      <c r="M37" s="4">
        <v>76914</v>
      </c>
      <c r="N37" s="4">
        <v>781667.99</v>
      </c>
      <c r="O37" s="4">
        <v>70306</v>
      </c>
      <c r="P37" s="4"/>
      <c r="Q37" s="4"/>
      <c r="R37" s="4">
        <v>736500.52949700004</v>
      </c>
      <c r="S37" s="4">
        <v>190488.52949700001</v>
      </c>
      <c r="T37" s="4">
        <v>5.603111218581919</v>
      </c>
      <c r="U37" s="4">
        <v>5557.3694969999997</v>
      </c>
      <c r="V37" s="4"/>
      <c r="W37" s="4">
        <v>49509.808208329996</v>
      </c>
      <c r="X37" s="4">
        <v>36509.808208329996</v>
      </c>
      <c r="Y37" s="4">
        <v>0</v>
      </c>
      <c r="Z37" s="4">
        <v>4105</v>
      </c>
      <c r="AA37" s="4">
        <v>58296.369497</v>
      </c>
      <c r="AB37" s="4">
        <v>52200.369497</v>
      </c>
      <c r="AC37" s="4">
        <v>6000</v>
      </c>
      <c r="AD37" s="4">
        <v>0</v>
      </c>
      <c r="AE37" s="4">
        <f t="shared" si="0"/>
        <v>107806.17770532999</v>
      </c>
      <c r="AF37" s="4">
        <f t="shared" si="0"/>
        <v>88710.177705329988</v>
      </c>
      <c r="AG37" s="4"/>
      <c r="AH37" s="4"/>
      <c r="AI37" s="4"/>
      <c r="AJ37" s="4"/>
      <c r="AK37" s="4"/>
      <c r="AL37" s="4"/>
      <c r="AM37" s="4"/>
      <c r="AN37" s="4"/>
      <c r="AO37" s="4"/>
      <c r="AP37" s="4"/>
      <c r="AQ37" s="22"/>
      <c r="AR37" s="22"/>
      <c r="AS37" s="22"/>
      <c r="AT37" s="22"/>
      <c r="AU37" s="22"/>
      <c r="AV37" s="22"/>
      <c r="AW37" s="22"/>
      <c r="AX37" s="4"/>
      <c r="AY37" s="4"/>
      <c r="AZ37" s="4"/>
      <c r="BA37" s="4"/>
      <c r="BB37" s="4"/>
      <c r="BC37" s="4"/>
      <c r="BD37" s="4"/>
      <c r="BE37" s="96" t="e">
        <f>AB37/AB30*100</f>
        <v>#REF!</v>
      </c>
    </row>
    <row r="38" spans="1:58" s="89" customFormat="1" ht="38.25" hidden="1" customHeight="1">
      <c r="A38" s="97" t="s">
        <v>76</v>
      </c>
      <c r="B38" s="98" t="s">
        <v>77</v>
      </c>
      <c r="C38" s="87"/>
      <c r="D38" s="87"/>
      <c r="E38" s="87"/>
      <c r="F38" s="87"/>
      <c r="G38" s="87" t="s">
        <v>54</v>
      </c>
      <c r="H38" s="87"/>
      <c r="I38" s="8"/>
      <c r="J38" s="9"/>
      <c r="K38" s="9"/>
      <c r="L38" s="9"/>
      <c r="M38" s="9"/>
      <c r="N38" s="9"/>
      <c r="O38" s="9"/>
      <c r="P38" s="9"/>
      <c r="Q38" s="9"/>
      <c r="R38" s="4">
        <v>363408</v>
      </c>
      <c r="S38" s="4">
        <v>363408</v>
      </c>
      <c r="T38" s="4">
        <v>10.689438608714159</v>
      </c>
      <c r="U38" s="4"/>
      <c r="V38" s="4"/>
      <c r="W38" s="4">
        <v>84594</v>
      </c>
      <c r="X38" s="4">
        <v>84594</v>
      </c>
      <c r="Y38" s="9"/>
      <c r="Z38" s="4">
        <v>0</v>
      </c>
      <c r="AA38" s="4"/>
      <c r="AB38" s="4"/>
      <c r="AC38" s="9"/>
      <c r="AD38" s="9">
        <v>0</v>
      </c>
      <c r="AE38" s="4">
        <f t="shared" si="0"/>
        <v>84594</v>
      </c>
      <c r="AF38" s="4">
        <f t="shared" si="0"/>
        <v>84594</v>
      </c>
      <c r="AG38" s="4"/>
      <c r="AH38" s="4"/>
      <c r="AI38" s="4"/>
      <c r="AJ38" s="4"/>
      <c r="AK38" s="4"/>
      <c r="AL38" s="4"/>
      <c r="AM38" s="9"/>
      <c r="AN38" s="9"/>
      <c r="AO38" s="9"/>
      <c r="AP38" s="9"/>
      <c r="AQ38" s="28"/>
      <c r="AR38" s="28"/>
      <c r="AS38" s="28"/>
      <c r="AT38" s="28"/>
      <c r="AU38" s="28"/>
      <c r="AV38" s="28"/>
      <c r="AW38" s="28"/>
      <c r="AX38" s="9"/>
      <c r="AY38" s="9"/>
      <c r="AZ38" s="9"/>
      <c r="BA38" s="9"/>
      <c r="BB38" s="9"/>
      <c r="BC38" s="9"/>
      <c r="BD38" s="9"/>
      <c r="BE38" s="99" t="s">
        <v>54</v>
      </c>
    </row>
    <row r="39" spans="1:58" s="89" customFormat="1" ht="24" hidden="1" customHeight="1">
      <c r="A39" s="97" t="s">
        <v>78</v>
      </c>
      <c r="B39" s="100" t="s">
        <v>79</v>
      </c>
      <c r="C39" s="87"/>
      <c r="D39" s="87"/>
      <c r="E39" s="87"/>
      <c r="F39" s="87"/>
      <c r="G39" s="87"/>
      <c r="H39" s="87"/>
      <c r="I39" s="8"/>
      <c r="J39" s="9"/>
      <c r="K39" s="9"/>
      <c r="L39" s="9"/>
      <c r="M39" s="9"/>
      <c r="N39" s="9"/>
      <c r="O39" s="9"/>
      <c r="P39" s="9"/>
      <c r="Q39" s="9"/>
      <c r="R39" s="4">
        <v>60000</v>
      </c>
      <c r="S39" s="4">
        <f>R39</f>
        <v>60000</v>
      </c>
      <c r="T39" s="4">
        <v>0</v>
      </c>
      <c r="U39" s="4"/>
      <c r="V39" s="4"/>
      <c r="W39" s="9"/>
      <c r="X39" s="9"/>
      <c r="Y39" s="9"/>
      <c r="Z39" s="9"/>
      <c r="AA39" s="4">
        <v>0</v>
      </c>
      <c r="AB39" s="4">
        <v>0</v>
      </c>
      <c r="AC39" s="9"/>
      <c r="AD39" s="9">
        <v>0</v>
      </c>
      <c r="AE39" s="4">
        <f t="shared" si="0"/>
        <v>0</v>
      </c>
      <c r="AF39" s="4">
        <f t="shared" si="0"/>
        <v>0</v>
      </c>
      <c r="AG39" s="4"/>
      <c r="AH39" s="4"/>
      <c r="AI39" s="4"/>
      <c r="AJ39" s="4"/>
      <c r="AK39" s="4"/>
      <c r="AL39" s="4"/>
      <c r="AM39" s="9"/>
      <c r="AN39" s="9"/>
      <c r="AO39" s="9"/>
      <c r="AP39" s="9"/>
      <c r="AQ39" s="28"/>
      <c r="AR39" s="28"/>
      <c r="AS39" s="28"/>
      <c r="AT39" s="28"/>
      <c r="AU39" s="28"/>
      <c r="AV39" s="28"/>
      <c r="AW39" s="28"/>
      <c r="AX39" s="9"/>
      <c r="AY39" s="9"/>
      <c r="AZ39" s="9"/>
      <c r="BA39" s="9"/>
      <c r="BB39" s="9"/>
      <c r="BC39" s="9"/>
      <c r="BD39" s="9"/>
      <c r="BE39" s="101" t="e">
        <f>AB39/AB30*100</f>
        <v>#REF!</v>
      </c>
    </row>
    <row r="40" spans="1:58" s="89" customFormat="1" ht="22.7" hidden="1" customHeight="1">
      <c r="A40" s="85"/>
      <c r="B40" s="86"/>
      <c r="C40" s="87"/>
      <c r="D40" s="87"/>
      <c r="E40" s="87"/>
      <c r="F40" s="87"/>
      <c r="G40" s="87"/>
      <c r="H40" s="87"/>
      <c r="I40" s="8"/>
      <c r="J40" s="4"/>
      <c r="K40" s="4"/>
      <c r="L40" s="4"/>
      <c r="M40" s="4"/>
      <c r="N40" s="4"/>
      <c r="O40" s="4"/>
      <c r="P40" s="4"/>
      <c r="Q40" s="4"/>
      <c r="R40" s="4"/>
      <c r="S40" s="4"/>
      <c r="T40" s="4"/>
      <c r="U40" s="4"/>
      <c r="V40" s="4"/>
      <c r="W40" s="4">
        <v>631933.74829999998</v>
      </c>
      <c r="X40" s="4">
        <v>497526.74829999998</v>
      </c>
      <c r="Y40" s="4">
        <v>24731.3</v>
      </c>
      <c r="Z40" s="4">
        <v>215143.52</v>
      </c>
      <c r="AA40" s="4"/>
      <c r="AB40" s="4"/>
      <c r="AC40" s="4"/>
      <c r="AD40" s="4"/>
      <c r="AE40" s="4">
        <f t="shared" si="0"/>
        <v>631933.74829999998</v>
      </c>
      <c r="AF40" s="4">
        <f t="shared" si="0"/>
        <v>497526.74829999998</v>
      </c>
      <c r="AG40" s="4"/>
      <c r="AH40" s="4"/>
      <c r="AI40" s="4"/>
      <c r="AJ40" s="4"/>
      <c r="AK40" s="4"/>
      <c r="AL40" s="4"/>
      <c r="AM40" s="4"/>
      <c r="AN40" s="4"/>
      <c r="AO40" s="4"/>
      <c r="AP40" s="4"/>
      <c r="AQ40" s="22"/>
      <c r="AR40" s="22"/>
      <c r="AS40" s="22"/>
      <c r="AT40" s="22"/>
      <c r="AU40" s="22"/>
      <c r="AV40" s="22"/>
      <c r="AW40" s="22"/>
      <c r="AX40" s="4"/>
      <c r="AY40" s="4"/>
      <c r="AZ40" s="4"/>
      <c r="BA40" s="4"/>
      <c r="BB40" s="4"/>
      <c r="BC40" s="4"/>
      <c r="BD40" s="4"/>
      <c r="BE40" s="75" t="e">
        <f>SUM(BE34:BE39)</f>
        <v>#REF!</v>
      </c>
    </row>
    <row r="41" spans="1:58" s="89" customFormat="1" ht="26.45" hidden="1" customHeight="1">
      <c r="A41" s="85"/>
      <c r="B41" s="86"/>
      <c r="C41" s="87"/>
      <c r="D41" s="87"/>
      <c r="E41" s="87"/>
      <c r="F41" s="87"/>
      <c r="G41" s="87"/>
      <c r="H41" s="87"/>
      <c r="I41" s="8"/>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22"/>
      <c r="AR41" s="22"/>
      <c r="AS41" s="22"/>
      <c r="AT41" s="22"/>
      <c r="AU41" s="22"/>
      <c r="AV41" s="22"/>
      <c r="AW41" s="22"/>
      <c r="AX41" s="4"/>
      <c r="AY41" s="4"/>
      <c r="AZ41" s="4"/>
      <c r="BA41" s="4"/>
      <c r="BB41" s="4"/>
      <c r="BC41" s="4"/>
      <c r="BD41" s="4"/>
      <c r="BE41" s="102"/>
    </row>
    <row r="42" spans="1:58" s="89" customFormat="1" ht="26.45" customHeight="1">
      <c r="A42" s="85" t="s">
        <v>40</v>
      </c>
      <c r="B42" s="86" t="s">
        <v>80</v>
      </c>
      <c r="C42" s="87"/>
      <c r="D42" s="87"/>
      <c r="E42" s="87"/>
      <c r="F42" s="87"/>
      <c r="G42" s="87"/>
      <c r="H42" s="87"/>
      <c r="I42" s="8"/>
      <c r="J42" s="4"/>
      <c r="K42" s="4"/>
      <c r="L42" s="4"/>
      <c r="M42" s="4"/>
      <c r="N42" s="4"/>
      <c r="O42" s="4"/>
      <c r="P42" s="4"/>
      <c r="Q42" s="4"/>
      <c r="R42" s="4"/>
      <c r="S42" s="4"/>
      <c r="T42" s="4"/>
      <c r="U42" s="4"/>
      <c r="V42" s="4">
        <f t="shared" ref="V42:AF42" si="3">V43+V48</f>
        <v>0</v>
      </c>
      <c r="W42" s="4">
        <f t="shared" si="3"/>
        <v>94175.5</v>
      </c>
      <c r="X42" s="4">
        <f t="shared" si="3"/>
        <v>40745.5</v>
      </c>
      <c r="Y42" s="4">
        <f t="shared" si="3"/>
        <v>0</v>
      </c>
      <c r="Z42" s="4">
        <f t="shared" si="3"/>
        <v>1850</v>
      </c>
      <c r="AA42" s="4">
        <f t="shared" si="3"/>
        <v>146249</v>
      </c>
      <c r="AB42" s="4">
        <f t="shared" si="3"/>
        <v>95906</v>
      </c>
      <c r="AC42" s="4">
        <f t="shared" si="3"/>
        <v>1000</v>
      </c>
      <c r="AD42" s="4">
        <f t="shared" si="3"/>
        <v>0</v>
      </c>
      <c r="AE42" s="4" t="e">
        <f t="shared" si="3"/>
        <v>#REF!</v>
      </c>
      <c r="AF42" s="4" t="e">
        <f t="shared" si="3"/>
        <v>#REF!</v>
      </c>
      <c r="AG42" s="4"/>
      <c r="AH42" s="4"/>
      <c r="AI42" s="4" t="e">
        <f>AI43+AI48</f>
        <v>#REF!</v>
      </c>
      <c r="AJ42" s="4" t="e">
        <f>AJ43+AJ48</f>
        <v>#REF!</v>
      </c>
      <c r="AK42" s="4" t="e">
        <f>AK43+AK48</f>
        <v>#REF!</v>
      </c>
      <c r="AL42" s="4" t="e">
        <f>AL43+AL48</f>
        <v>#REF!</v>
      </c>
      <c r="AM42" s="4" t="e">
        <f>AM43</f>
        <v>#REF!</v>
      </c>
      <c r="AN42" s="4" t="e">
        <f>AN43</f>
        <v>#REF!</v>
      </c>
      <c r="AO42" s="4" t="e">
        <f>AO43+AO48</f>
        <v>#REF!</v>
      </c>
      <c r="AP42" s="4" t="e">
        <f t="shared" ref="AP42" si="4">AP43+AP48</f>
        <v>#REF!</v>
      </c>
      <c r="AQ42" s="22">
        <f>AQ43</f>
        <v>1997076.5</v>
      </c>
      <c r="AR42" s="22">
        <f t="shared" ref="AR42:AT42" si="5">AR43</f>
        <v>560506.5</v>
      </c>
      <c r="AS42" s="22">
        <f t="shared" si="5"/>
        <v>483206.5</v>
      </c>
      <c r="AT42" s="22">
        <f t="shared" si="5"/>
        <v>541911</v>
      </c>
      <c r="AU42" s="22">
        <f>AU43</f>
        <v>479139</v>
      </c>
      <c r="AV42" s="22">
        <f t="shared" ref="AV42:BD42" si="6">AV43</f>
        <v>10000</v>
      </c>
      <c r="AW42" s="22">
        <f t="shared" si="6"/>
        <v>0</v>
      </c>
      <c r="AX42" s="4">
        <f t="shared" si="6"/>
        <v>2358275.5</v>
      </c>
      <c r="AY42" s="4">
        <f t="shared" si="6"/>
        <v>830809.5</v>
      </c>
      <c r="AZ42" s="4">
        <f t="shared" si="6"/>
        <v>829609.5</v>
      </c>
      <c r="BA42" s="4">
        <f t="shared" si="6"/>
        <v>761100</v>
      </c>
      <c r="BB42" s="4">
        <f>BB43</f>
        <v>726000</v>
      </c>
      <c r="BC42" s="22">
        <f t="shared" si="6"/>
        <v>1616</v>
      </c>
      <c r="BD42" s="22">
        <f t="shared" si="6"/>
        <v>0</v>
      </c>
      <c r="BE42" s="103">
        <f>+'[1]Phân bổ vốn(không in)'!J44-'Du kien VonNSDP 2020'!BB42</f>
        <v>0</v>
      </c>
      <c r="BF42" s="10"/>
    </row>
    <row r="43" spans="1:58" s="89" customFormat="1" ht="41.1" customHeight="1">
      <c r="A43" s="75" t="s">
        <v>81</v>
      </c>
      <c r="B43" s="76" t="s">
        <v>43</v>
      </c>
      <c r="C43" s="87"/>
      <c r="D43" s="87"/>
      <c r="E43" s="87"/>
      <c r="F43" s="87"/>
      <c r="G43" s="87"/>
      <c r="H43" s="87"/>
      <c r="I43" s="8"/>
      <c r="J43" s="4"/>
      <c r="K43" s="4"/>
      <c r="L43" s="4"/>
      <c r="M43" s="4"/>
      <c r="N43" s="4"/>
      <c r="O43" s="4"/>
      <c r="P43" s="4"/>
      <c r="Q43" s="4"/>
      <c r="R43" s="4"/>
      <c r="S43" s="4"/>
      <c r="T43" s="4"/>
      <c r="U43" s="4"/>
      <c r="V43" s="4">
        <f t="shared" ref="V43:AF43" si="7">V44+V46+V47</f>
        <v>0</v>
      </c>
      <c r="W43" s="4">
        <f t="shared" si="7"/>
        <v>94175.5</v>
      </c>
      <c r="X43" s="4">
        <f t="shared" si="7"/>
        <v>40745.5</v>
      </c>
      <c r="Y43" s="4">
        <f t="shared" si="7"/>
        <v>0</v>
      </c>
      <c r="Z43" s="4">
        <f t="shared" si="7"/>
        <v>1850</v>
      </c>
      <c r="AA43" s="4">
        <f t="shared" si="7"/>
        <v>145221</v>
      </c>
      <c r="AB43" s="4">
        <f t="shared" si="7"/>
        <v>94878</v>
      </c>
      <c r="AC43" s="4">
        <f t="shared" si="7"/>
        <v>1000</v>
      </c>
      <c r="AD43" s="4">
        <f t="shared" si="7"/>
        <v>0</v>
      </c>
      <c r="AE43" s="4">
        <f t="shared" si="7"/>
        <v>1165487</v>
      </c>
      <c r="AF43" s="4">
        <f t="shared" si="7"/>
        <v>1165487</v>
      </c>
      <c r="AG43" s="4"/>
      <c r="AH43" s="4"/>
      <c r="AI43" s="4">
        <f>AI44+AI46+AI47</f>
        <v>373850.33333333337</v>
      </c>
      <c r="AJ43" s="4">
        <f>AJ44+AJ46+AJ47</f>
        <v>346850.33333333337</v>
      </c>
      <c r="AK43" s="4">
        <f>AK44+AK46+AK47</f>
        <v>1000</v>
      </c>
      <c r="AL43" s="4"/>
      <c r="AM43" s="4" t="e">
        <f>AM44+AM46+AM47</f>
        <v>#REF!</v>
      </c>
      <c r="AN43" s="4" t="e">
        <f>AN44+AN46+AN47</f>
        <v>#REF!</v>
      </c>
      <c r="AO43" s="4">
        <f>AO44+AO46+AO47</f>
        <v>1000</v>
      </c>
      <c r="AP43" s="4">
        <f t="shared" ref="AP43:AS43" si="8">AP44+AP46+AP47</f>
        <v>0</v>
      </c>
      <c r="AQ43" s="22">
        <f>AQ44+AQ46+AQ47</f>
        <v>1997076.5</v>
      </c>
      <c r="AR43" s="22">
        <f>AR44+AR46+AR47</f>
        <v>560506.5</v>
      </c>
      <c r="AS43" s="22">
        <f t="shared" si="8"/>
        <v>483206.5</v>
      </c>
      <c r="AT43" s="22">
        <f>AT44+AT46+AT47</f>
        <v>541911</v>
      </c>
      <c r="AU43" s="22">
        <f>AU44+AU46+AU47</f>
        <v>479139</v>
      </c>
      <c r="AV43" s="22">
        <f t="shared" ref="AV43:BD43" si="9">AV44+AV46+AV47</f>
        <v>10000</v>
      </c>
      <c r="AW43" s="22">
        <f t="shared" si="9"/>
        <v>0</v>
      </c>
      <c r="AX43" s="4">
        <f t="shared" si="9"/>
        <v>2358275.5</v>
      </c>
      <c r="AY43" s="4">
        <f t="shared" si="9"/>
        <v>830809.5</v>
      </c>
      <c r="AZ43" s="4">
        <f t="shared" si="9"/>
        <v>829609.5</v>
      </c>
      <c r="BA43" s="4">
        <f t="shared" si="9"/>
        <v>761100</v>
      </c>
      <c r="BB43" s="4">
        <f>BB44+BB46+BB47</f>
        <v>726000</v>
      </c>
      <c r="BC43" s="22">
        <f t="shared" si="9"/>
        <v>1616</v>
      </c>
      <c r="BD43" s="22">
        <f t="shared" si="9"/>
        <v>0</v>
      </c>
      <c r="BE43" s="103"/>
    </row>
    <row r="44" spans="1:58" ht="34.5" customHeight="1">
      <c r="A44" s="73" t="s">
        <v>44</v>
      </c>
      <c r="B44" s="104" t="s">
        <v>82</v>
      </c>
      <c r="C44" s="105"/>
      <c r="D44" s="105"/>
      <c r="E44" s="105"/>
      <c r="F44" s="105"/>
      <c r="G44" s="105"/>
      <c r="H44" s="105"/>
      <c r="I44" s="11"/>
      <c r="J44" s="12"/>
      <c r="K44" s="12"/>
      <c r="L44" s="12" t="e">
        <f t="shared" ref="L44:Q44" si="10">L59+L79+L102+L119+L129+L135+L155+L174+L191+L206+L218+L229+L234+L247+L282+L289</f>
        <v>#REF!</v>
      </c>
      <c r="M44" s="12" t="e">
        <f t="shared" si="10"/>
        <v>#REF!</v>
      </c>
      <c r="N44" s="12" t="e">
        <f t="shared" si="10"/>
        <v>#REF!</v>
      </c>
      <c r="O44" s="12" t="e">
        <f t="shared" si="10"/>
        <v>#REF!</v>
      </c>
      <c r="P44" s="3" t="e">
        <f t="shared" si="10"/>
        <v>#REF!</v>
      </c>
      <c r="Q44" s="3" t="e">
        <f t="shared" si="10"/>
        <v>#REF!</v>
      </c>
      <c r="R44" s="12"/>
      <c r="S44" s="12"/>
      <c r="T44" s="12"/>
      <c r="U44" s="12"/>
      <c r="V44" s="3"/>
      <c r="W44" s="3">
        <f t="shared" ref="W44:AD44" si="11">W59+W79+W102+W119+W129+W135+W155+W174+W191+W206+W218+W229+W234+W247+W282+W289</f>
        <v>94175.5</v>
      </c>
      <c r="X44" s="3">
        <f t="shared" si="11"/>
        <v>40745.5</v>
      </c>
      <c r="Y44" s="3">
        <f t="shared" si="11"/>
        <v>0</v>
      </c>
      <c r="Z44" s="3">
        <f t="shared" si="11"/>
        <v>1850</v>
      </c>
      <c r="AA44" s="3">
        <f t="shared" si="11"/>
        <v>145221</v>
      </c>
      <c r="AB44" s="3">
        <f t="shared" si="11"/>
        <v>94878</v>
      </c>
      <c r="AC44" s="3">
        <f t="shared" si="11"/>
        <v>1000</v>
      </c>
      <c r="AD44" s="3">
        <f t="shared" si="11"/>
        <v>0</v>
      </c>
      <c r="AE44" s="3">
        <f>510462+602300</f>
        <v>1112762</v>
      </c>
      <c r="AF44" s="3">
        <f>510462+602300</f>
        <v>1112762</v>
      </c>
      <c r="AG44" s="3"/>
      <c r="AH44" s="3"/>
      <c r="AI44" s="3">
        <f>AI59+AI79+AI102+AI119+AI129+AI135+AI155+AI174+AI191+AI206+AI218+AI229+AI234+AI247+AI282+AI289-12000</f>
        <v>361850.33333333337</v>
      </c>
      <c r="AJ44" s="3">
        <f>AJ59+AJ79+AJ102+AJ119+AJ129+AJ135+AJ155+AJ174+AJ191+AJ206+AJ218+AJ229+AJ234+AJ247+AJ282+AJ289-12000</f>
        <v>334850.33333333337</v>
      </c>
      <c r="AK44" s="3">
        <f>AK59+AK79+AK102+AK119+AK129+AK135+AK155+AK174+AK191+AK206+AK218+AK229+AK234+AK247+AK282+AK289</f>
        <v>1000</v>
      </c>
      <c r="AL44" s="3">
        <f>AL59+AL79+AL102+AL119+AL129+AL135+AL155+AL174+AL191+AL206+AL218+AL229+AL234+AL247+AL282+AL289</f>
        <v>0</v>
      </c>
      <c r="AM44" s="3" t="e">
        <f>AM59+AM79+AM102+AM119+AM129+AM135+AM155+AM174+AM191+AM206+AM218+AM229+AM234+AM247+AM282+AM289+AM48-15800</f>
        <v>#REF!</v>
      </c>
      <c r="AN44" s="3" t="e">
        <f>AN59+AN79+AN102+AN119+AN129+AN135+AN155+AN174+AN191+AN206+AN218+AN229+AN234+AN247+AN282+AN289+AN48</f>
        <v>#REF!</v>
      </c>
      <c r="AO44" s="3">
        <f>AO59+AO79+AO102+AO119+AO129+AO135+AO155+AO174+AO191+AO206+AO218+AO229+AO234+AO247+AO282+AO289</f>
        <v>1000</v>
      </c>
      <c r="AP44" s="3">
        <f>AP59+AP79+AP102+AP119+AP129+AP135+AP155+AP174+AP191+AP206+AP218+AP229+AP234+AP247+AP282+AP289</f>
        <v>0</v>
      </c>
      <c r="AQ44" s="12">
        <f t="shared" ref="AQ44:AW44" si="12">AQ59+AQ79+AQ102+AQ119+AQ129+AQ135+AQ155+AQ174+AQ191+AQ206+AQ218+AQ229+AQ234+AQ247+AQ282+AQ289+AQ298+AQ300+AQ302</f>
        <v>1908551.5</v>
      </c>
      <c r="AR44" s="12">
        <f t="shared" si="12"/>
        <v>471981.5</v>
      </c>
      <c r="AS44" s="12">
        <f t="shared" si="12"/>
        <v>394681.5</v>
      </c>
      <c r="AT44" s="12">
        <f t="shared" si="12"/>
        <v>498866</v>
      </c>
      <c r="AU44" s="12">
        <f t="shared" si="12"/>
        <v>436094</v>
      </c>
      <c r="AV44" s="12">
        <f t="shared" si="12"/>
        <v>10000</v>
      </c>
      <c r="AW44" s="12">
        <f t="shared" si="12"/>
        <v>0</v>
      </c>
      <c r="AX44" s="12">
        <f>AX59+AX79+AX102+AX119+AX129+AX135+AX155+AX174+AX191+AX206+AX218+AX229+AX234+AX247+AX282+AX289+AX298+AX300+AX302-18045</f>
        <v>2358275.5</v>
      </c>
      <c r="AY44" s="12">
        <f>AY59+AY79+AY102+AY119+AY129+AY135+AY155+AY174+AY191+AY206+AY218+AY229+AY234+AY247+AY282+AY289+AY298+AY300+AY302-18045</f>
        <v>830809.5</v>
      </c>
      <c r="AZ44" s="12">
        <f>AZ59+AZ79+AZ102+AZ119+AZ129+AZ135+AZ155+AZ174+AZ191+AZ206+AZ218+AZ229+AZ234+AZ247+AZ282+AZ289+AZ298+AZ300+AZ302-18045</f>
        <v>829609.5</v>
      </c>
      <c r="BA44" s="12">
        <f>BA59+BA79+BA102+BA119+BA129+BA135+BA155+BA174+BA191+BA206+BA218+BA229+BA234+BA247+BA282+BA289+BA298+BA300+BA302+BB325-21870</f>
        <v>713230</v>
      </c>
      <c r="BB44" s="12">
        <f>BB59+BB79+BB102+BB119+BB129+BB135+BB155+BB174+BB191+BB206+BB218+BB229+BB234+BB247+BB282+BB289+BB298+BB300+BB302+BB325-21870</f>
        <v>678130</v>
      </c>
      <c r="BC44" s="12">
        <f>BC59+BC79+BC102+BC119+BC129+BC135+BC155+BC174+BC191+BC206+BC218+BC229+BC234+BC247+BC282+BC289+BC298+BC300+BC302</f>
        <v>1616</v>
      </c>
      <c r="BD44" s="12">
        <f>BD59+BD79+BD102+BD119+BD129+BD135+BD155+BD174+BD191+BD206+BD218+BD229+BD234+BD247+BD282+BD289+BD298+BD300+BD302</f>
        <v>0</v>
      </c>
      <c r="BE44" s="106"/>
    </row>
    <row r="45" spans="1:58" s="111" customFormat="1" ht="34.5" customHeight="1">
      <c r="A45" s="107"/>
      <c r="B45" s="108" t="s">
        <v>46</v>
      </c>
      <c r="C45" s="109"/>
      <c r="D45" s="109"/>
      <c r="E45" s="109"/>
      <c r="F45" s="109"/>
      <c r="G45" s="109"/>
      <c r="H45" s="109"/>
      <c r="I45" s="13"/>
      <c r="J45" s="14"/>
      <c r="K45" s="14"/>
      <c r="L45" s="14"/>
      <c r="M45" s="14"/>
      <c r="N45" s="14"/>
      <c r="O45" s="14"/>
      <c r="P45" s="7"/>
      <c r="Q45" s="7"/>
      <c r="R45" s="14"/>
      <c r="S45" s="14"/>
      <c r="T45" s="14"/>
      <c r="U45" s="14"/>
      <c r="V45" s="7"/>
      <c r="W45" s="7"/>
      <c r="X45" s="7"/>
      <c r="Y45" s="7"/>
      <c r="Z45" s="7"/>
      <c r="AA45" s="7"/>
      <c r="AB45" s="7"/>
      <c r="AC45" s="7"/>
      <c r="AD45" s="7"/>
      <c r="AE45" s="7"/>
      <c r="AF45" s="7"/>
      <c r="AG45" s="7"/>
      <c r="AH45" s="7"/>
      <c r="AI45" s="7"/>
      <c r="AJ45" s="7"/>
      <c r="AK45" s="7"/>
      <c r="AL45" s="7"/>
      <c r="AM45" s="7">
        <f>AN45</f>
        <v>592730</v>
      </c>
      <c r="AN45" s="7">
        <v>592730</v>
      </c>
      <c r="AO45" s="7"/>
      <c r="AP45" s="7"/>
      <c r="AQ45" s="14"/>
      <c r="AR45" s="14"/>
      <c r="AS45" s="14"/>
      <c r="AT45" s="14"/>
      <c r="AU45" s="14"/>
      <c r="AV45" s="14"/>
      <c r="AW45" s="14"/>
      <c r="AX45" s="7"/>
      <c r="AY45" s="7"/>
      <c r="AZ45" s="7"/>
      <c r="BA45" s="7"/>
      <c r="BB45" s="7"/>
      <c r="BC45" s="7"/>
      <c r="BD45" s="7"/>
      <c r="BE45" s="110"/>
    </row>
    <row r="46" spans="1:58" ht="48.6" customHeight="1">
      <c r="A46" s="72" t="s">
        <v>48</v>
      </c>
      <c r="B46" s="79" t="s">
        <v>83</v>
      </c>
      <c r="C46" s="99"/>
      <c r="D46" s="99"/>
      <c r="E46" s="99"/>
      <c r="F46" s="99"/>
      <c r="G46" s="99"/>
      <c r="H46" s="99"/>
      <c r="I46" s="15"/>
      <c r="J46" s="3"/>
      <c r="K46" s="3"/>
      <c r="L46" s="3"/>
      <c r="M46" s="3"/>
      <c r="N46" s="3"/>
      <c r="O46" s="3"/>
      <c r="P46" s="3"/>
      <c r="Q46" s="3"/>
      <c r="R46" s="112"/>
      <c r="S46" s="112"/>
      <c r="T46" s="3"/>
      <c r="U46" s="3"/>
      <c r="V46" s="3"/>
      <c r="W46" s="3"/>
      <c r="X46" s="3"/>
      <c r="Y46" s="3"/>
      <c r="Z46" s="3"/>
      <c r="AA46" s="3"/>
      <c r="AB46" s="3"/>
      <c r="AC46" s="3"/>
      <c r="AD46" s="3"/>
      <c r="AE46" s="3">
        <f>AF46</f>
        <v>24725</v>
      </c>
      <c r="AF46" s="3">
        <f>13750+10975</f>
        <v>24725</v>
      </c>
      <c r="AG46" s="3"/>
      <c r="AH46" s="3"/>
      <c r="AI46" s="3">
        <v>12000</v>
      </c>
      <c r="AJ46" s="3">
        <v>12000</v>
      </c>
      <c r="AK46" s="3"/>
      <c r="AL46" s="3"/>
      <c r="AM46" s="3">
        <f>AN46</f>
        <v>15800</v>
      </c>
      <c r="AN46" s="3">
        <v>15800</v>
      </c>
      <c r="AO46" s="3"/>
      <c r="AP46" s="3"/>
      <c r="AQ46" s="12">
        <f>+AR46</f>
        <v>40525</v>
      </c>
      <c r="AR46" s="12">
        <f>+AS46</f>
        <v>40525</v>
      </c>
      <c r="AS46" s="12">
        <v>40525</v>
      </c>
      <c r="AT46" s="12">
        <f>AU46</f>
        <v>18045</v>
      </c>
      <c r="AU46" s="12">
        <v>18045</v>
      </c>
      <c r="AV46" s="12"/>
      <c r="AW46" s="12"/>
      <c r="AX46" s="3"/>
      <c r="AY46" s="3"/>
      <c r="AZ46" s="3"/>
      <c r="BA46" s="3">
        <f>+BB46</f>
        <v>21870</v>
      </c>
      <c r="BB46" s="3">
        <v>21870</v>
      </c>
      <c r="BC46" s="3"/>
      <c r="BD46" s="3"/>
      <c r="BE46" s="102"/>
    </row>
    <row r="47" spans="1:58" ht="36" customHeight="1">
      <c r="A47" s="72" t="s">
        <v>50</v>
      </c>
      <c r="B47" s="79" t="s">
        <v>51</v>
      </c>
      <c r="C47" s="99"/>
      <c r="D47" s="99"/>
      <c r="E47" s="99"/>
      <c r="F47" s="99"/>
      <c r="G47" s="99"/>
      <c r="H47" s="99"/>
      <c r="I47" s="15"/>
      <c r="J47" s="3"/>
      <c r="K47" s="3"/>
      <c r="L47" s="3"/>
      <c r="M47" s="3"/>
      <c r="N47" s="3"/>
      <c r="O47" s="3"/>
      <c r="P47" s="3"/>
      <c r="Q47" s="3"/>
      <c r="R47" s="112"/>
      <c r="S47" s="112"/>
      <c r="T47" s="3"/>
      <c r="U47" s="3"/>
      <c r="V47" s="3"/>
      <c r="W47" s="3"/>
      <c r="X47" s="3"/>
      <c r="Y47" s="3"/>
      <c r="Z47" s="3"/>
      <c r="AA47" s="3"/>
      <c r="AB47" s="3"/>
      <c r="AC47" s="3"/>
      <c r="AD47" s="3"/>
      <c r="AE47" s="3">
        <f>AF47</f>
        <v>28000</v>
      </c>
      <c r="AF47" s="3">
        <f>11000+17000</f>
        <v>28000</v>
      </c>
      <c r="AG47" s="3"/>
      <c r="AH47" s="3"/>
      <c r="AI47" s="3">
        <f t="shared" ref="AI47:AL47" si="13">AI306</f>
        <v>0</v>
      </c>
      <c r="AJ47" s="3">
        <f t="shared" si="13"/>
        <v>0</v>
      </c>
      <c r="AK47" s="3">
        <f t="shared" si="13"/>
        <v>0</v>
      </c>
      <c r="AL47" s="3">
        <f t="shared" si="13"/>
        <v>0</v>
      </c>
      <c r="AM47" s="3">
        <f>AN47</f>
        <v>20000</v>
      </c>
      <c r="AN47" s="3">
        <v>20000</v>
      </c>
      <c r="AO47" s="3"/>
      <c r="AP47" s="3"/>
      <c r="AQ47" s="12">
        <f>+AR47</f>
        <v>48000</v>
      </c>
      <c r="AR47" s="12">
        <f>+AS47</f>
        <v>48000</v>
      </c>
      <c r="AS47" s="12">
        <v>48000</v>
      </c>
      <c r="AT47" s="12">
        <f>AU47</f>
        <v>25000</v>
      </c>
      <c r="AU47" s="12">
        <v>25000</v>
      </c>
      <c r="AV47" s="12"/>
      <c r="AW47" s="12"/>
      <c r="AX47" s="3"/>
      <c r="AY47" s="3"/>
      <c r="AZ47" s="3"/>
      <c r="BA47" s="3">
        <f>+BB47</f>
        <v>26000</v>
      </c>
      <c r="BB47" s="3">
        <v>26000</v>
      </c>
      <c r="BC47" s="3"/>
      <c r="BD47" s="3"/>
      <c r="BE47" s="102"/>
    </row>
    <row r="48" spans="1:58" s="115" customFormat="1" ht="38.450000000000003" customHeight="1">
      <c r="A48" s="75" t="s">
        <v>84</v>
      </c>
      <c r="B48" s="113" t="s">
        <v>85</v>
      </c>
      <c r="C48" s="87"/>
      <c r="D48" s="87"/>
      <c r="E48" s="87"/>
      <c r="F48" s="87"/>
      <c r="G48" s="87"/>
      <c r="H48" s="87"/>
      <c r="I48" s="8"/>
      <c r="J48" s="4"/>
      <c r="K48" s="4"/>
      <c r="L48" s="4"/>
      <c r="M48" s="4"/>
      <c r="N48" s="4"/>
      <c r="O48" s="4"/>
      <c r="P48" s="4"/>
      <c r="Q48" s="4"/>
      <c r="R48" s="88"/>
      <c r="S48" s="88"/>
      <c r="T48" s="4"/>
      <c r="U48" s="4"/>
      <c r="V48" s="4"/>
      <c r="W48" s="4"/>
      <c r="X48" s="4"/>
      <c r="Y48" s="4"/>
      <c r="Z48" s="4"/>
      <c r="AA48" s="4">
        <f t="shared" ref="AA48:AD48" si="14">AA49+AA50+AA51+AA54</f>
        <v>1028</v>
      </c>
      <c r="AB48" s="4">
        <f t="shared" si="14"/>
        <v>1028</v>
      </c>
      <c r="AC48" s="4">
        <f t="shared" si="14"/>
        <v>0</v>
      </c>
      <c r="AD48" s="4">
        <f t="shared" si="14"/>
        <v>0</v>
      </c>
      <c r="AE48" s="4" t="e">
        <f>AE49+AE50+AE51+#REF!+AE54</f>
        <v>#REF!</v>
      </c>
      <c r="AF48" s="4" t="e">
        <f>AF49+AF50+AF51+#REF!+AF54</f>
        <v>#REF!</v>
      </c>
      <c r="AG48" s="4" t="e">
        <f>AG49+AG50+AG51+#REF!+AG54</f>
        <v>#REF!</v>
      </c>
      <c r="AH48" s="4" t="e">
        <f>AH49+AH50+AH51+#REF!+AH54</f>
        <v>#REF!</v>
      </c>
      <c r="AI48" s="4" t="e">
        <f>AI49+AI50+AI51+#REF!+AI54</f>
        <v>#REF!</v>
      </c>
      <c r="AJ48" s="4" t="e">
        <f>AJ49+AJ50+AJ51+#REF!+AJ54</f>
        <v>#REF!</v>
      </c>
      <c r="AK48" s="4" t="e">
        <f>AK49+AK50+AK51+#REF!+AK54</f>
        <v>#REF!</v>
      </c>
      <c r="AL48" s="4" t="e">
        <f>AL49+AL50+AL51+#REF!+AL54</f>
        <v>#REF!</v>
      </c>
      <c r="AM48" s="4" t="e">
        <f>AM49+AM50+AM51+#REF!+AM54</f>
        <v>#REF!</v>
      </c>
      <c r="AN48" s="4" t="e">
        <f>AN49+AN50+AN51+#REF!+AN54</f>
        <v>#REF!</v>
      </c>
      <c r="AO48" s="4" t="e">
        <f>AO49+AO50+AO51+#REF!+AO54</f>
        <v>#REF!</v>
      </c>
      <c r="AP48" s="4" t="e">
        <f>AP49+AP50+AP51+#REF!+AP54</f>
        <v>#REF!</v>
      </c>
      <c r="AQ48" s="22">
        <f>AQ49+AQ50+AQ51+AQ54</f>
        <v>0</v>
      </c>
      <c r="AR48" s="22">
        <f t="shared" ref="AR48:AS48" si="15">AR49+AR50+AR51+AR54</f>
        <v>0</v>
      </c>
      <c r="AS48" s="22">
        <f t="shared" si="15"/>
        <v>0</v>
      </c>
      <c r="AT48" s="22">
        <f>+AU48</f>
        <v>14605</v>
      </c>
      <c r="AU48" s="22">
        <v>14605</v>
      </c>
      <c r="AV48" s="22">
        <f t="shared" ref="AV48:BD48" si="16">AV49+AV50+AV51+AV52+AV54</f>
        <v>0</v>
      </c>
      <c r="AW48" s="22">
        <f t="shared" si="16"/>
        <v>0</v>
      </c>
      <c r="AX48" s="4">
        <f t="shared" si="16"/>
        <v>0</v>
      </c>
      <c r="AY48" s="4">
        <f t="shared" si="16"/>
        <v>0</v>
      </c>
      <c r="AZ48" s="4">
        <f t="shared" si="16"/>
        <v>0</v>
      </c>
      <c r="BA48" s="4">
        <f>+BA49+BA50+BA51+BA52+BA53+BA54</f>
        <v>33898</v>
      </c>
      <c r="BB48" s="4">
        <f>+BB49+BB50+BB51+BB52+BB53+BB54</f>
        <v>33898</v>
      </c>
      <c r="BC48" s="22">
        <f t="shared" si="16"/>
        <v>0</v>
      </c>
      <c r="BD48" s="22">
        <f t="shared" si="16"/>
        <v>0</v>
      </c>
      <c r="BE48" s="114"/>
      <c r="BF48" s="89"/>
    </row>
    <row r="49" spans="1:59" s="89" customFormat="1" ht="37.15" customHeight="1">
      <c r="A49" s="116">
        <v>1</v>
      </c>
      <c r="B49" s="305" t="s">
        <v>606</v>
      </c>
      <c r="C49" s="118"/>
      <c r="D49" s="118"/>
      <c r="E49" s="118"/>
      <c r="F49" s="118"/>
      <c r="G49" s="118"/>
      <c r="H49" s="118"/>
      <c r="I49" s="8"/>
      <c r="J49" s="9"/>
      <c r="K49" s="9"/>
      <c r="L49" s="9"/>
      <c r="M49" s="9"/>
      <c r="N49" s="9"/>
      <c r="O49" s="9"/>
      <c r="P49" s="3">
        <f t="shared" ref="P49:Q51" si="17">L49+W49</f>
        <v>0</v>
      </c>
      <c r="Q49" s="3">
        <f t="shared" si="17"/>
        <v>0</v>
      </c>
      <c r="R49" s="4"/>
      <c r="S49" s="4"/>
      <c r="T49" s="4"/>
      <c r="U49" s="4"/>
      <c r="V49" s="4"/>
      <c r="W49" s="9"/>
      <c r="X49" s="9"/>
      <c r="Y49" s="9"/>
      <c r="Z49" s="9"/>
      <c r="AA49" s="16">
        <v>492</v>
      </c>
      <c r="AB49" s="16">
        <v>492</v>
      </c>
      <c r="AC49" s="9"/>
      <c r="AD49" s="9"/>
      <c r="AE49" s="3">
        <f t="shared" ref="AE49:AF51" si="18">W49+AA49</f>
        <v>492</v>
      </c>
      <c r="AF49" s="3">
        <f t="shared" si="18"/>
        <v>492</v>
      </c>
      <c r="AG49" s="4"/>
      <c r="AH49" s="4"/>
      <c r="AI49" s="4">
        <f t="shared" ref="AI49:AL51" si="19">AM49</f>
        <v>455</v>
      </c>
      <c r="AJ49" s="4">
        <f t="shared" si="19"/>
        <v>455</v>
      </c>
      <c r="AK49" s="4">
        <f t="shared" si="19"/>
        <v>0</v>
      </c>
      <c r="AL49" s="4">
        <f t="shared" si="19"/>
        <v>0</v>
      </c>
      <c r="AM49" s="16">
        <f t="shared" ref="AM49:AM54" si="20">AN49</f>
        <v>455</v>
      </c>
      <c r="AN49" s="16">
        <v>455</v>
      </c>
      <c r="AO49" s="16"/>
      <c r="AP49" s="9"/>
      <c r="AQ49" s="28"/>
      <c r="AR49" s="28"/>
      <c r="AS49" s="28"/>
      <c r="AT49" s="46"/>
      <c r="AU49" s="46"/>
      <c r="AV49" s="28"/>
      <c r="AW49" s="28"/>
      <c r="AX49" s="9"/>
      <c r="AY49" s="9"/>
      <c r="AZ49" s="9"/>
      <c r="BA49" s="16">
        <f>+BB49</f>
        <v>379</v>
      </c>
      <c r="BB49" s="16">
        <v>379</v>
      </c>
      <c r="BC49" s="9"/>
      <c r="BD49" s="9"/>
      <c r="BE49" s="105"/>
    </row>
    <row r="50" spans="1:59" s="89" customFormat="1" ht="41.1" customHeight="1">
      <c r="A50" s="116">
        <v>2</v>
      </c>
      <c r="B50" s="305" t="s">
        <v>607</v>
      </c>
      <c r="C50" s="118"/>
      <c r="D50" s="118"/>
      <c r="E50" s="118"/>
      <c r="F50" s="118"/>
      <c r="G50" s="118"/>
      <c r="H50" s="118"/>
      <c r="I50" s="8"/>
      <c r="J50" s="9"/>
      <c r="K50" s="9"/>
      <c r="L50" s="9"/>
      <c r="M50" s="9"/>
      <c r="N50" s="9"/>
      <c r="O50" s="9"/>
      <c r="P50" s="3">
        <f t="shared" si="17"/>
        <v>0</v>
      </c>
      <c r="Q50" s="3">
        <f t="shared" si="17"/>
        <v>0</v>
      </c>
      <c r="R50" s="4"/>
      <c r="S50" s="4"/>
      <c r="T50" s="4"/>
      <c r="U50" s="4"/>
      <c r="V50" s="4"/>
      <c r="W50" s="9"/>
      <c r="X50" s="9"/>
      <c r="Y50" s="9"/>
      <c r="Z50" s="9"/>
      <c r="AA50" s="16">
        <v>483</v>
      </c>
      <c r="AB50" s="16">
        <v>483</v>
      </c>
      <c r="AC50" s="9"/>
      <c r="AD50" s="9"/>
      <c r="AE50" s="3">
        <f t="shared" si="18"/>
        <v>483</v>
      </c>
      <c r="AF50" s="3">
        <f t="shared" si="18"/>
        <v>483</v>
      </c>
      <c r="AG50" s="4"/>
      <c r="AH50" s="4"/>
      <c r="AI50" s="4">
        <f t="shared" si="19"/>
        <v>916</v>
      </c>
      <c r="AJ50" s="4">
        <f t="shared" si="19"/>
        <v>916</v>
      </c>
      <c r="AK50" s="4">
        <f t="shared" si="19"/>
        <v>0</v>
      </c>
      <c r="AL50" s="4">
        <f t="shared" si="19"/>
        <v>0</v>
      </c>
      <c r="AM50" s="16">
        <f t="shared" si="20"/>
        <v>916</v>
      </c>
      <c r="AN50" s="16">
        <v>916</v>
      </c>
      <c r="AO50" s="16"/>
      <c r="AP50" s="9"/>
      <c r="AQ50" s="28"/>
      <c r="AR50" s="28"/>
      <c r="AS50" s="28"/>
      <c r="AT50" s="46"/>
      <c r="AU50" s="46"/>
      <c r="AV50" s="28"/>
      <c r="AW50" s="28"/>
      <c r="AX50" s="9"/>
      <c r="AY50" s="9"/>
      <c r="AZ50" s="9"/>
      <c r="BA50" s="16">
        <f t="shared" ref="BA50:BA54" si="21">+BB50</f>
        <v>712</v>
      </c>
      <c r="BB50" s="16">
        <v>712</v>
      </c>
      <c r="BC50" s="9"/>
      <c r="BD50" s="9"/>
      <c r="BE50" s="105"/>
    </row>
    <row r="51" spans="1:59" s="89" customFormat="1" ht="47.1" customHeight="1">
      <c r="A51" s="116">
        <v>3</v>
      </c>
      <c r="B51" s="306" t="s">
        <v>608</v>
      </c>
      <c r="C51" s="118"/>
      <c r="D51" s="118"/>
      <c r="E51" s="118"/>
      <c r="F51" s="118"/>
      <c r="G51" s="118"/>
      <c r="H51" s="118"/>
      <c r="I51" s="8"/>
      <c r="J51" s="9"/>
      <c r="K51" s="9"/>
      <c r="L51" s="9"/>
      <c r="M51" s="9"/>
      <c r="N51" s="9"/>
      <c r="O51" s="9"/>
      <c r="P51" s="3">
        <f t="shared" si="17"/>
        <v>0</v>
      </c>
      <c r="Q51" s="3">
        <f t="shared" si="17"/>
        <v>0</v>
      </c>
      <c r="R51" s="4"/>
      <c r="S51" s="4"/>
      <c r="T51" s="4"/>
      <c r="U51" s="4"/>
      <c r="V51" s="4"/>
      <c r="W51" s="9"/>
      <c r="X51" s="9"/>
      <c r="Y51" s="9"/>
      <c r="Z51" s="9"/>
      <c r="AA51" s="16">
        <v>53</v>
      </c>
      <c r="AB51" s="16">
        <v>53</v>
      </c>
      <c r="AC51" s="9"/>
      <c r="AD51" s="9"/>
      <c r="AE51" s="3">
        <f t="shared" si="18"/>
        <v>53</v>
      </c>
      <c r="AF51" s="3">
        <f t="shared" si="18"/>
        <v>53</v>
      </c>
      <c r="AG51" s="4"/>
      <c r="AH51" s="4"/>
      <c r="AI51" s="4">
        <f t="shared" si="19"/>
        <v>172</v>
      </c>
      <c r="AJ51" s="4">
        <f t="shared" si="19"/>
        <v>172</v>
      </c>
      <c r="AK51" s="4">
        <f t="shared" si="19"/>
        <v>0</v>
      </c>
      <c r="AL51" s="4">
        <f t="shared" si="19"/>
        <v>0</v>
      </c>
      <c r="AM51" s="16">
        <f t="shared" si="20"/>
        <v>172</v>
      </c>
      <c r="AN51" s="16">
        <v>172</v>
      </c>
      <c r="AO51" s="16"/>
      <c r="AP51" s="9"/>
      <c r="AQ51" s="28"/>
      <c r="AR51" s="28"/>
      <c r="AS51" s="28"/>
      <c r="AT51" s="46"/>
      <c r="AU51" s="46"/>
      <c r="AV51" s="28"/>
      <c r="AW51" s="28"/>
      <c r="AX51" s="9"/>
      <c r="AY51" s="9"/>
      <c r="AZ51" s="9"/>
      <c r="BA51" s="16">
        <f t="shared" si="21"/>
        <v>309</v>
      </c>
      <c r="BB51" s="16">
        <v>309</v>
      </c>
      <c r="BC51" s="9"/>
      <c r="BD51" s="9"/>
      <c r="BE51" s="105"/>
    </row>
    <row r="52" spans="1:59" s="89" customFormat="1" ht="45.75" customHeight="1">
      <c r="A52" s="116">
        <v>4</v>
      </c>
      <c r="B52" s="306" t="s">
        <v>86</v>
      </c>
      <c r="C52" s="118"/>
      <c r="D52" s="118"/>
      <c r="E52" s="118"/>
      <c r="F52" s="118"/>
      <c r="G52" s="118"/>
      <c r="H52" s="118"/>
      <c r="I52" s="8"/>
      <c r="J52" s="9"/>
      <c r="K52" s="9"/>
      <c r="L52" s="9"/>
      <c r="M52" s="9"/>
      <c r="N52" s="9"/>
      <c r="O52" s="9"/>
      <c r="P52" s="3"/>
      <c r="Q52" s="3"/>
      <c r="R52" s="4"/>
      <c r="S52" s="4"/>
      <c r="T52" s="4"/>
      <c r="U52" s="4"/>
      <c r="V52" s="4"/>
      <c r="W52" s="9"/>
      <c r="X52" s="9"/>
      <c r="Y52" s="9"/>
      <c r="Z52" s="9"/>
      <c r="AA52" s="16"/>
      <c r="AB52" s="16"/>
      <c r="AC52" s="9"/>
      <c r="AD52" s="9"/>
      <c r="AE52" s="3"/>
      <c r="AF52" s="3"/>
      <c r="AG52" s="4"/>
      <c r="AH52" s="4"/>
      <c r="AI52" s="4"/>
      <c r="AJ52" s="4"/>
      <c r="AK52" s="4"/>
      <c r="AL52" s="4"/>
      <c r="AM52" s="16"/>
      <c r="AN52" s="16"/>
      <c r="AO52" s="16"/>
      <c r="AP52" s="9"/>
      <c r="AQ52" s="28"/>
      <c r="AR52" s="28"/>
      <c r="AS52" s="28"/>
      <c r="AT52" s="46"/>
      <c r="AU52" s="46"/>
      <c r="AV52" s="28"/>
      <c r="AW52" s="28"/>
      <c r="AX52" s="9"/>
      <c r="AY52" s="9"/>
      <c r="AZ52" s="9"/>
      <c r="BA52" s="16">
        <f t="shared" si="21"/>
        <v>30</v>
      </c>
      <c r="BB52" s="16">
        <v>30</v>
      </c>
      <c r="BC52" s="9"/>
      <c r="BD52" s="9"/>
      <c r="BE52" s="105"/>
    </row>
    <row r="53" spans="1:59" s="89" customFormat="1" ht="43.5" customHeight="1">
      <c r="A53" s="116">
        <v>5</v>
      </c>
      <c r="B53" s="306" t="s">
        <v>87</v>
      </c>
      <c r="C53" s="118"/>
      <c r="D53" s="118"/>
      <c r="E53" s="118"/>
      <c r="F53" s="118"/>
      <c r="G53" s="118"/>
      <c r="H53" s="118"/>
      <c r="I53" s="8"/>
      <c r="J53" s="9"/>
      <c r="K53" s="9"/>
      <c r="L53" s="9"/>
      <c r="M53" s="9"/>
      <c r="N53" s="9"/>
      <c r="O53" s="9"/>
      <c r="P53" s="3"/>
      <c r="Q53" s="3"/>
      <c r="R53" s="4"/>
      <c r="S53" s="4"/>
      <c r="T53" s="4"/>
      <c r="U53" s="4"/>
      <c r="V53" s="4"/>
      <c r="W53" s="9"/>
      <c r="X53" s="9"/>
      <c r="Y53" s="9"/>
      <c r="Z53" s="9"/>
      <c r="AA53" s="16"/>
      <c r="AB53" s="16"/>
      <c r="AC53" s="9"/>
      <c r="AD53" s="9"/>
      <c r="AE53" s="3"/>
      <c r="AF53" s="3"/>
      <c r="AG53" s="4"/>
      <c r="AH53" s="4"/>
      <c r="AI53" s="4"/>
      <c r="AJ53" s="4"/>
      <c r="AK53" s="4"/>
      <c r="AL53" s="4"/>
      <c r="AM53" s="16"/>
      <c r="AN53" s="16"/>
      <c r="AO53" s="16"/>
      <c r="AP53" s="9"/>
      <c r="AQ53" s="28"/>
      <c r="AR53" s="28"/>
      <c r="AS53" s="28"/>
      <c r="AT53" s="46"/>
      <c r="AU53" s="46"/>
      <c r="AV53" s="28"/>
      <c r="AW53" s="28"/>
      <c r="AX53" s="9"/>
      <c r="AY53" s="9"/>
      <c r="AZ53" s="9"/>
      <c r="BA53" s="16">
        <f t="shared" si="21"/>
        <v>32268</v>
      </c>
      <c r="BB53" s="16">
        <v>32268</v>
      </c>
      <c r="BC53" s="9"/>
      <c r="BD53" s="9"/>
      <c r="BE53" s="105"/>
    </row>
    <row r="54" spans="1:59" s="89" customFormat="1" ht="47.1" customHeight="1">
      <c r="A54" s="116">
        <v>6</v>
      </c>
      <c r="B54" s="306" t="s">
        <v>609</v>
      </c>
      <c r="C54" s="118"/>
      <c r="D54" s="118"/>
      <c r="E54" s="118"/>
      <c r="F54" s="118"/>
      <c r="G54" s="118"/>
      <c r="H54" s="118"/>
      <c r="I54" s="8"/>
      <c r="J54" s="9"/>
      <c r="K54" s="9"/>
      <c r="L54" s="9"/>
      <c r="M54" s="9"/>
      <c r="N54" s="9"/>
      <c r="O54" s="9"/>
      <c r="P54" s="3"/>
      <c r="Q54" s="3"/>
      <c r="R54" s="4"/>
      <c r="S54" s="4"/>
      <c r="T54" s="4"/>
      <c r="U54" s="4"/>
      <c r="V54" s="4"/>
      <c r="W54" s="9"/>
      <c r="X54" s="9"/>
      <c r="Y54" s="9"/>
      <c r="Z54" s="9"/>
      <c r="AA54" s="16"/>
      <c r="AB54" s="16"/>
      <c r="AC54" s="9"/>
      <c r="AD54" s="9"/>
      <c r="AE54" s="4"/>
      <c r="AF54" s="4"/>
      <c r="AG54" s="4"/>
      <c r="AH54" s="4"/>
      <c r="AI54" s="4"/>
      <c r="AJ54" s="4"/>
      <c r="AK54" s="4"/>
      <c r="AL54" s="4"/>
      <c r="AM54" s="16">
        <f t="shared" si="20"/>
        <v>22400</v>
      </c>
      <c r="AN54" s="16">
        <v>22400</v>
      </c>
      <c r="AO54" s="16"/>
      <c r="AP54" s="9"/>
      <c r="AQ54" s="28"/>
      <c r="AR54" s="28"/>
      <c r="AS54" s="28"/>
      <c r="AT54" s="46"/>
      <c r="AU54" s="46"/>
      <c r="AV54" s="28"/>
      <c r="AW54" s="28"/>
      <c r="AX54" s="9"/>
      <c r="AY54" s="9"/>
      <c r="AZ54" s="9"/>
      <c r="BA54" s="16">
        <f t="shared" si="21"/>
        <v>200</v>
      </c>
      <c r="BB54" s="16">
        <v>200</v>
      </c>
      <c r="BC54" s="9"/>
      <c r="BD54" s="9"/>
      <c r="BE54" s="105"/>
    </row>
    <row r="55" spans="1:59" s="115" customFormat="1" ht="38.450000000000003" customHeight="1">
      <c r="A55" s="75" t="s">
        <v>59</v>
      </c>
      <c r="B55" s="76" t="s">
        <v>60</v>
      </c>
      <c r="C55" s="87"/>
      <c r="D55" s="87"/>
      <c r="E55" s="87"/>
      <c r="F55" s="87"/>
      <c r="G55" s="87"/>
      <c r="H55" s="87"/>
      <c r="I55" s="8"/>
      <c r="J55" s="4"/>
      <c r="K55" s="4"/>
      <c r="L55" s="4"/>
      <c r="M55" s="4"/>
      <c r="N55" s="4"/>
      <c r="O55" s="4"/>
      <c r="P55" s="4"/>
      <c r="Q55" s="4"/>
      <c r="R55" s="4"/>
      <c r="S55" s="4">
        <f t="shared" ref="S55:AZ55" si="22">S57+S306</f>
        <v>1704231.1</v>
      </c>
      <c r="T55" s="4">
        <f t="shared" si="22"/>
        <v>0</v>
      </c>
      <c r="U55" s="4">
        <f t="shared" si="22"/>
        <v>1850</v>
      </c>
      <c r="V55" s="4">
        <f t="shared" si="22"/>
        <v>1625449.5</v>
      </c>
      <c r="W55" s="4">
        <f t="shared" si="22"/>
        <v>94175.5</v>
      </c>
      <c r="X55" s="4">
        <f t="shared" si="22"/>
        <v>40745.5</v>
      </c>
      <c r="Y55" s="4">
        <f t="shared" si="22"/>
        <v>0</v>
      </c>
      <c r="Z55" s="4">
        <f t="shared" si="22"/>
        <v>1850</v>
      </c>
      <c r="AA55" s="4">
        <f t="shared" si="22"/>
        <v>145221</v>
      </c>
      <c r="AB55" s="4">
        <f t="shared" si="22"/>
        <v>94878</v>
      </c>
      <c r="AC55" s="4">
        <f t="shared" si="22"/>
        <v>1000</v>
      </c>
      <c r="AD55" s="4">
        <f t="shared" si="22"/>
        <v>0</v>
      </c>
      <c r="AE55" s="4">
        <f t="shared" si="22"/>
        <v>243594.5</v>
      </c>
      <c r="AF55" s="4">
        <f t="shared" si="22"/>
        <v>139821.5</v>
      </c>
      <c r="AG55" s="4">
        <f t="shared" si="22"/>
        <v>0</v>
      </c>
      <c r="AH55" s="4">
        <f t="shared" si="22"/>
        <v>0</v>
      </c>
      <c r="AI55" s="4">
        <f t="shared" si="22"/>
        <v>373850.33333333337</v>
      </c>
      <c r="AJ55" s="4">
        <f t="shared" si="22"/>
        <v>346850.33333333337</v>
      </c>
      <c r="AK55" s="4">
        <f t="shared" si="22"/>
        <v>1000</v>
      </c>
      <c r="AL55" s="4">
        <f t="shared" si="22"/>
        <v>0</v>
      </c>
      <c r="AM55" s="4">
        <f t="shared" si="22"/>
        <v>237886</v>
      </c>
      <c r="AN55" s="4">
        <f t="shared" si="22"/>
        <v>210886</v>
      </c>
      <c r="AO55" s="4">
        <f t="shared" si="22"/>
        <v>1000</v>
      </c>
      <c r="AP55" s="4">
        <f t="shared" si="22"/>
        <v>0</v>
      </c>
      <c r="AQ55" s="4">
        <f t="shared" si="22"/>
        <v>1908551.5</v>
      </c>
      <c r="AR55" s="4">
        <f t="shared" si="22"/>
        <v>471981.5</v>
      </c>
      <c r="AS55" s="4">
        <f t="shared" si="22"/>
        <v>394681.5</v>
      </c>
      <c r="AT55" s="4">
        <f t="shared" si="22"/>
        <v>498866</v>
      </c>
      <c r="AU55" s="4">
        <f t="shared" si="22"/>
        <v>436094</v>
      </c>
      <c r="AV55" s="4">
        <f t="shared" si="22"/>
        <v>10000</v>
      </c>
      <c r="AW55" s="4">
        <f t="shared" si="22"/>
        <v>0</v>
      </c>
      <c r="AX55" s="4">
        <f t="shared" si="22"/>
        <v>2414701.5</v>
      </c>
      <c r="AY55" s="4">
        <f t="shared" si="22"/>
        <v>908235.5</v>
      </c>
      <c r="AZ55" s="4">
        <f t="shared" si="22"/>
        <v>886035.5</v>
      </c>
      <c r="BA55" s="4">
        <f>BA57+BA306+BB325</f>
        <v>761100</v>
      </c>
      <c r="BB55" s="4">
        <f>BB57+BB306+BB325</f>
        <v>726000</v>
      </c>
      <c r="BC55" s="4">
        <f>BC57+BC306</f>
        <v>1616</v>
      </c>
      <c r="BD55" s="4">
        <f>BD57+BD306</f>
        <v>0</v>
      </c>
      <c r="BE55" s="103"/>
      <c r="BF55" s="89"/>
    </row>
    <row r="56" spans="1:59" s="123" customFormat="1" ht="75.75" hidden="1" customHeight="1">
      <c r="A56" s="119"/>
      <c r="B56" s="120" t="s">
        <v>88</v>
      </c>
      <c r="C56" s="121"/>
      <c r="D56" s="121"/>
      <c r="E56" s="121"/>
      <c r="F56" s="121"/>
      <c r="G56" s="121"/>
      <c r="H56" s="121"/>
      <c r="I56" s="17"/>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f>+BB56</f>
        <v>300000</v>
      </c>
      <c r="BB56" s="18">
        <v>300000</v>
      </c>
      <c r="BC56" s="18"/>
      <c r="BD56" s="18"/>
      <c r="BE56" s="122" t="s">
        <v>89</v>
      </c>
    </row>
    <row r="57" spans="1:59" s="115" customFormat="1" ht="34.5" customHeight="1">
      <c r="A57" s="75" t="s">
        <v>62</v>
      </c>
      <c r="B57" s="76" t="s">
        <v>63</v>
      </c>
      <c r="C57" s="87"/>
      <c r="D57" s="87"/>
      <c r="E57" s="87"/>
      <c r="F57" s="87"/>
      <c r="G57" s="87"/>
      <c r="H57" s="87"/>
      <c r="I57" s="8"/>
      <c r="J57" s="4">
        <f t="shared" ref="J57:BD57" si="23">J59+J79+J102+J119+J129+J135+J155+J174+J191+J206+J218+J229+J234+J247+J282+J289+J298+J300+J302</f>
        <v>5782903.7000000002</v>
      </c>
      <c r="K57" s="4">
        <f t="shared" si="23"/>
        <v>2485412.9</v>
      </c>
      <c r="L57" s="4" t="e">
        <f t="shared" si="23"/>
        <v>#REF!</v>
      </c>
      <c r="M57" s="4" t="e">
        <f t="shared" si="23"/>
        <v>#REF!</v>
      </c>
      <c r="N57" s="4" t="e">
        <f t="shared" si="23"/>
        <v>#REF!</v>
      </c>
      <c r="O57" s="4" t="e">
        <f t="shared" si="23"/>
        <v>#REF!</v>
      </c>
      <c r="P57" s="4" t="e">
        <f t="shared" si="23"/>
        <v>#REF!</v>
      </c>
      <c r="Q57" s="4" t="e">
        <f t="shared" si="23"/>
        <v>#REF!</v>
      </c>
      <c r="R57" s="4">
        <f t="shared" si="23"/>
        <v>2097343.6</v>
      </c>
      <c r="S57" s="4">
        <f t="shared" si="23"/>
        <v>1639397.1</v>
      </c>
      <c r="T57" s="4">
        <f t="shared" si="23"/>
        <v>0</v>
      </c>
      <c r="U57" s="4">
        <f t="shared" si="23"/>
        <v>1850</v>
      </c>
      <c r="V57" s="4">
        <f t="shared" si="23"/>
        <v>1625449.5</v>
      </c>
      <c r="W57" s="4">
        <f t="shared" si="23"/>
        <v>94175.5</v>
      </c>
      <c r="X57" s="4">
        <f t="shared" si="23"/>
        <v>40745.5</v>
      </c>
      <c r="Y57" s="4">
        <f t="shared" si="23"/>
        <v>0</v>
      </c>
      <c r="Z57" s="4">
        <f t="shared" si="23"/>
        <v>1850</v>
      </c>
      <c r="AA57" s="4">
        <f t="shared" si="23"/>
        <v>145221</v>
      </c>
      <c r="AB57" s="4">
        <f t="shared" si="23"/>
        <v>94878</v>
      </c>
      <c r="AC57" s="4">
        <f t="shared" si="23"/>
        <v>1000</v>
      </c>
      <c r="AD57" s="4">
        <f t="shared" si="23"/>
        <v>0</v>
      </c>
      <c r="AE57" s="4">
        <f t="shared" si="23"/>
        <v>243594.5</v>
      </c>
      <c r="AF57" s="4">
        <f t="shared" si="23"/>
        <v>139821.5</v>
      </c>
      <c r="AG57" s="4">
        <f t="shared" si="23"/>
        <v>0</v>
      </c>
      <c r="AH57" s="4">
        <f t="shared" si="23"/>
        <v>0</v>
      </c>
      <c r="AI57" s="4">
        <f t="shared" si="23"/>
        <v>373850.33333333337</v>
      </c>
      <c r="AJ57" s="4">
        <f t="shared" si="23"/>
        <v>346850.33333333337</v>
      </c>
      <c r="AK57" s="4">
        <f t="shared" si="23"/>
        <v>1000</v>
      </c>
      <c r="AL57" s="4">
        <f t="shared" si="23"/>
        <v>0</v>
      </c>
      <c r="AM57" s="4">
        <f t="shared" si="23"/>
        <v>237886</v>
      </c>
      <c r="AN57" s="4">
        <f t="shared" si="23"/>
        <v>210886</v>
      </c>
      <c r="AO57" s="4">
        <f t="shared" si="23"/>
        <v>1000</v>
      </c>
      <c r="AP57" s="4">
        <f t="shared" si="23"/>
        <v>0</v>
      </c>
      <c r="AQ57" s="4">
        <f t="shared" si="23"/>
        <v>1908551.5</v>
      </c>
      <c r="AR57" s="4">
        <f t="shared" si="23"/>
        <v>471981.5</v>
      </c>
      <c r="AS57" s="4">
        <f t="shared" si="23"/>
        <v>394681.5</v>
      </c>
      <c r="AT57" s="4">
        <f t="shared" si="23"/>
        <v>498866</v>
      </c>
      <c r="AU57" s="4">
        <f t="shared" si="23"/>
        <v>436094</v>
      </c>
      <c r="AV57" s="4">
        <f t="shared" si="23"/>
        <v>10000</v>
      </c>
      <c r="AW57" s="4">
        <f t="shared" si="23"/>
        <v>0</v>
      </c>
      <c r="AX57" s="4">
        <f t="shared" si="23"/>
        <v>2376320.5</v>
      </c>
      <c r="AY57" s="4">
        <f t="shared" si="23"/>
        <v>848854.5</v>
      </c>
      <c r="AZ57" s="4">
        <f t="shared" si="23"/>
        <v>847654.5</v>
      </c>
      <c r="BA57" s="4">
        <f t="shared" si="23"/>
        <v>701202</v>
      </c>
      <c r="BB57" s="4">
        <f t="shared" si="23"/>
        <v>666102</v>
      </c>
      <c r="BC57" s="4">
        <f t="shared" si="23"/>
        <v>1616</v>
      </c>
      <c r="BD57" s="4">
        <f t="shared" si="23"/>
        <v>0</v>
      </c>
      <c r="BE57" s="103"/>
      <c r="BF57" s="89"/>
      <c r="BG57" s="115">
        <f>+BB62+BB67+BB69+BB70+BB71+BB75+BB76+BB77+BB82+BB83+BB86+BB89+BB92+BB93+BB95+BB96+BB97+BB98+BB99+BB100+BB107+BB108+BB109+BB110+BB112+BB114+BB115+BB116+BB122+BB124+BB126+BB127+BB133+BB138+BB141+BB142+BB143+BB144+BB145+BB146+BB148+BB150+BB151+BB152+BB153+BB159+BB167+BB168+BB169+BB170+BB172+BB180+BB183+BB184+BB185+BB194+BB195+BB198+BB200+BB201+BB202+BB203+BB204+BB212+BB221+BB224+BB225+BB226+BB227+BB239+BB240+BB241+BB242+BB243+BB244+BB249+BB250+BB251+BB255+BB257+BB258+BB259+BB260+BB262+BB264+BB267+BB268+BB269+BB270+BB271+BB272+BB273+BB274+BB275+BB276+BB277+BB279+BB280+BB285+BB286+BB287+BB288+BB291+BB292+BB293+BB297+BB299+BB303+BB304</f>
        <v>666102</v>
      </c>
    </row>
    <row r="58" spans="1:59" s="89" customFormat="1" ht="26.45" customHeight="1">
      <c r="A58" s="85"/>
      <c r="B58" s="86" t="s">
        <v>90</v>
      </c>
      <c r="C58" s="87"/>
      <c r="D58" s="87"/>
      <c r="E58" s="87"/>
      <c r="F58" s="87"/>
      <c r="G58" s="87"/>
      <c r="H58" s="87"/>
      <c r="I58" s="8"/>
      <c r="J58" s="4"/>
      <c r="K58" s="4"/>
      <c r="L58" s="4"/>
      <c r="M58" s="4"/>
      <c r="N58" s="4"/>
      <c r="O58" s="4"/>
      <c r="P58" s="4"/>
      <c r="Q58" s="4"/>
      <c r="R58" s="4"/>
      <c r="S58" s="4"/>
      <c r="T58" s="4"/>
      <c r="U58" s="4"/>
      <c r="V58" s="4"/>
      <c r="W58" s="4"/>
      <c r="X58" s="4"/>
      <c r="Y58" s="4"/>
      <c r="Z58" s="4"/>
      <c r="AA58" s="4"/>
      <c r="AB58" s="4">
        <v>44377</v>
      </c>
      <c r="AC58" s="4"/>
      <c r="AD58" s="4"/>
      <c r="AE58" s="4"/>
      <c r="AF58" s="4"/>
      <c r="AG58" s="4"/>
      <c r="AH58" s="4"/>
      <c r="AI58" s="4"/>
      <c r="AJ58" s="4"/>
      <c r="AK58" s="4"/>
      <c r="AL58" s="4"/>
      <c r="AM58" s="4"/>
      <c r="AN58" s="4">
        <v>46526.77364856167</v>
      </c>
      <c r="AO58" s="4"/>
      <c r="AP58" s="4"/>
      <c r="AQ58" s="22"/>
      <c r="AR58" s="22"/>
      <c r="AS58" s="22"/>
      <c r="AT58" s="22"/>
      <c r="AU58" s="22">
        <v>53002</v>
      </c>
      <c r="AV58" s="22"/>
      <c r="AW58" s="22"/>
      <c r="AX58" s="4"/>
      <c r="AY58" s="4"/>
      <c r="AZ58" s="4"/>
      <c r="BA58" s="4"/>
      <c r="BB58" s="4">
        <f>'[1]Phân bổ vốn(không in)'!J74</f>
        <v>36164.439286059547</v>
      </c>
      <c r="BC58" s="4"/>
      <c r="BD58" s="4"/>
      <c r="BE58" s="102"/>
    </row>
    <row r="59" spans="1:59" s="115" customFormat="1" ht="29.25" customHeight="1">
      <c r="A59" s="126" t="s">
        <v>64</v>
      </c>
      <c r="B59" s="127" t="s">
        <v>91</v>
      </c>
      <c r="C59" s="87"/>
      <c r="D59" s="87"/>
      <c r="E59" s="87"/>
      <c r="F59" s="87"/>
      <c r="G59" s="128"/>
      <c r="H59" s="87"/>
      <c r="I59" s="8"/>
      <c r="J59" s="9">
        <f>J60+J63+J73</f>
        <v>433646.7</v>
      </c>
      <c r="K59" s="9">
        <f t="shared" ref="K59:BD59" si="24">K60+K63+K73</f>
        <v>246356.9</v>
      </c>
      <c r="L59" s="9">
        <f t="shared" si="24"/>
        <v>18222</v>
      </c>
      <c r="M59" s="9">
        <f t="shared" si="24"/>
        <v>0</v>
      </c>
      <c r="N59" s="9">
        <f t="shared" si="24"/>
        <v>0</v>
      </c>
      <c r="O59" s="9">
        <f t="shared" si="24"/>
        <v>0</v>
      </c>
      <c r="P59" s="9">
        <f t="shared" si="24"/>
        <v>18433</v>
      </c>
      <c r="Q59" s="9">
        <f t="shared" si="24"/>
        <v>211</v>
      </c>
      <c r="R59" s="9">
        <f t="shared" si="24"/>
        <v>149580</v>
      </c>
      <c r="S59" s="9">
        <f t="shared" si="24"/>
        <v>121358</v>
      </c>
      <c r="T59" s="9">
        <f t="shared" si="24"/>
        <v>0</v>
      </c>
      <c r="U59" s="9">
        <f t="shared" si="24"/>
        <v>0</v>
      </c>
      <c r="V59" s="9">
        <f t="shared" si="24"/>
        <v>3000</v>
      </c>
      <c r="W59" s="9">
        <f t="shared" si="24"/>
        <v>245</v>
      </c>
      <c r="X59" s="9">
        <f t="shared" si="24"/>
        <v>245</v>
      </c>
      <c r="Y59" s="9">
        <f t="shared" si="24"/>
        <v>0</v>
      </c>
      <c r="Z59" s="9">
        <f t="shared" si="24"/>
        <v>0</v>
      </c>
      <c r="AA59" s="9">
        <f t="shared" si="24"/>
        <v>3000</v>
      </c>
      <c r="AB59" s="9">
        <f t="shared" si="24"/>
        <v>3000</v>
      </c>
      <c r="AC59" s="9">
        <f t="shared" si="24"/>
        <v>0</v>
      </c>
      <c r="AD59" s="9">
        <f t="shared" si="24"/>
        <v>0</v>
      </c>
      <c r="AE59" s="9">
        <f t="shared" si="24"/>
        <v>4263</v>
      </c>
      <c r="AF59" s="9">
        <f t="shared" si="24"/>
        <v>4263</v>
      </c>
      <c r="AG59" s="9">
        <f t="shared" si="24"/>
        <v>0</v>
      </c>
      <c r="AH59" s="9">
        <f t="shared" si="24"/>
        <v>0</v>
      </c>
      <c r="AI59" s="9">
        <f t="shared" si="24"/>
        <v>14600</v>
      </c>
      <c r="AJ59" s="9">
        <f t="shared" si="24"/>
        <v>14600</v>
      </c>
      <c r="AK59" s="9">
        <f t="shared" si="24"/>
        <v>0</v>
      </c>
      <c r="AL59" s="9">
        <f t="shared" si="24"/>
        <v>0</v>
      </c>
      <c r="AM59" s="9">
        <f t="shared" si="24"/>
        <v>18487</v>
      </c>
      <c r="AN59" s="9">
        <f t="shared" si="24"/>
        <v>18487</v>
      </c>
      <c r="AO59" s="9">
        <f t="shared" si="24"/>
        <v>0</v>
      </c>
      <c r="AP59" s="9">
        <f t="shared" si="24"/>
        <v>0</v>
      </c>
      <c r="AQ59" s="28">
        <f t="shared" si="24"/>
        <v>22530</v>
      </c>
      <c r="AR59" s="28">
        <f t="shared" si="24"/>
        <v>23759</v>
      </c>
      <c r="AS59" s="28">
        <f t="shared" si="24"/>
        <v>23759</v>
      </c>
      <c r="AT59" s="28">
        <f t="shared" si="24"/>
        <v>51392</v>
      </c>
      <c r="AU59" s="28">
        <f t="shared" si="24"/>
        <v>51392</v>
      </c>
      <c r="AV59" s="28">
        <f t="shared" si="24"/>
        <v>10000</v>
      </c>
      <c r="AW59" s="28">
        <f t="shared" si="24"/>
        <v>0</v>
      </c>
      <c r="AX59" s="9">
        <f t="shared" si="24"/>
        <v>84940</v>
      </c>
      <c r="AY59" s="9">
        <f t="shared" si="24"/>
        <v>75151</v>
      </c>
      <c r="AZ59" s="9">
        <f t="shared" si="24"/>
        <v>75151</v>
      </c>
      <c r="BA59" s="9">
        <f t="shared" si="24"/>
        <v>26815</v>
      </c>
      <c r="BB59" s="9">
        <f t="shared" si="24"/>
        <v>26815</v>
      </c>
      <c r="BC59" s="28">
        <f t="shared" si="24"/>
        <v>0</v>
      </c>
      <c r="BD59" s="28">
        <f t="shared" si="24"/>
        <v>0</v>
      </c>
      <c r="BE59" s="102"/>
      <c r="BF59" s="89"/>
    </row>
    <row r="60" spans="1:59" s="89" customFormat="1" ht="43.5" customHeight="1">
      <c r="A60" s="129" t="s">
        <v>92</v>
      </c>
      <c r="B60" s="130" t="s">
        <v>93</v>
      </c>
      <c r="C60" s="118"/>
      <c r="D60" s="118"/>
      <c r="E60" s="118"/>
      <c r="F60" s="118"/>
      <c r="G60" s="131"/>
      <c r="H60" s="118"/>
      <c r="I60" s="21"/>
      <c r="J60" s="22">
        <f>J61</f>
        <v>9658.9</v>
      </c>
      <c r="K60" s="22">
        <f t="shared" ref="K60:BD60" si="25">K61</f>
        <v>9658.9</v>
      </c>
      <c r="L60" s="22">
        <f t="shared" si="25"/>
        <v>0</v>
      </c>
      <c r="M60" s="22">
        <f t="shared" si="25"/>
        <v>0</v>
      </c>
      <c r="N60" s="22">
        <f t="shared" si="25"/>
        <v>0</v>
      </c>
      <c r="O60" s="22">
        <f t="shared" si="25"/>
        <v>0</v>
      </c>
      <c r="P60" s="22">
        <f t="shared" si="25"/>
        <v>126</v>
      </c>
      <c r="Q60" s="22">
        <f t="shared" si="25"/>
        <v>126</v>
      </c>
      <c r="R60" s="22">
        <f t="shared" si="25"/>
        <v>9659</v>
      </c>
      <c r="S60" s="22">
        <f t="shared" si="25"/>
        <v>9659</v>
      </c>
      <c r="T60" s="22">
        <f t="shared" si="25"/>
        <v>0</v>
      </c>
      <c r="U60" s="22">
        <f t="shared" si="25"/>
        <v>0</v>
      </c>
      <c r="V60" s="22">
        <f t="shared" si="25"/>
        <v>3000</v>
      </c>
      <c r="W60" s="22">
        <f t="shared" si="25"/>
        <v>126</v>
      </c>
      <c r="X60" s="22">
        <f t="shared" si="25"/>
        <v>126</v>
      </c>
      <c r="Y60" s="22">
        <f t="shared" si="25"/>
        <v>0</v>
      </c>
      <c r="Z60" s="22">
        <f t="shared" si="25"/>
        <v>0</v>
      </c>
      <c r="AA60" s="22">
        <f t="shared" si="25"/>
        <v>3000</v>
      </c>
      <c r="AB60" s="22">
        <f t="shared" si="25"/>
        <v>3000</v>
      </c>
      <c r="AC60" s="22">
        <f t="shared" si="25"/>
        <v>0</v>
      </c>
      <c r="AD60" s="22">
        <f t="shared" si="25"/>
        <v>0</v>
      </c>
      <c r="AE60" s="22">
        <f t="shared" si="25"/>
        <v>3126</v>
      </c>
      <c r="AF60" s="22">
        <f t="shared" si="25"/>
        <v>3126</v>
      </c>
      <c r="AG60" s="22">
        <f t="shared" si="25"/>
        <v>0</v>
      </c>
      <c r="AH60" s="22">
        <f t="shared" si="25"/>
        <v>0</v>
      </c>
      <c r="AI60" s="22">
        <f t="shared" si="25"/>
        <v>3000</v>
      </c>
      <c r="AJ60" s="22">
        <f t="shared" si="25"/>
        <v>3000</v>
      </c>
      <c r="AK60" s="22">
        <f t="shared" si="25"/>
        <v>0</v>
      </c>
      <c r="AL60" s="22">
        <f t="shared" si="25"/>
        <v>0</v>
      </c>
      <c r="AM60" s="22">
        <f t="shared" si="25"/>
        <v>3000</v>
      </c>
      <c r="AN60" s="22">
        <f t="shared" si="25"/>
        <v>3000</v>
      </c>
      <c r="AO60" s="22">
        <f t="shared" si="25"/>
        <v>0</v>
      </c>
      <c r="AP60" s="22">
        <f t="shared" si="25"/>
        <v>0</v>
      </c>
      <c r="AQ60" s="22">
        <f t="shared" si="25"/>
        <v>6000</v>
      </c>
      <c r="AR60" s="22">
        <f t="shared" si="25"/>
        <v>6126</v>
      </c>
      <c r="AS60" s="22">
        <f t="shared" si="25"/>
        <v>6126</v>
      </c>
      <c r="AT60" s="22">
        <f t="shared" si="25"/>
        <v>1868</v>
      </c>
      <c r="AU60" s="22">
        <f t="shared" si="25"/>
        <v>1868</v>
      </c>
      <c r="AV60" s="22">
        <f t="shared" si="25"/>
        <v>0</v>
      </c>
      <c r="AW60" s="22">
        <f t="shared" si="25"/>
        <v>0</v>
      </c>
      <c r="AX60" s="4">
        <f t="shared" si="25"/>
        <v>7868</v>
      </c>
      <c r="AY60" s="4">
        <f t="shared" si="25"/>
        <v>7994</v>
      </c>
      <c r="AZ60" s="4">
        <f t="shared" si="25"/>
        <v>7994</v>
      </c>
      <c r="BA60" s="4">
        <f t="shared" si="25"/>
        <v>1402</v>
      </c>
      <c r="BB60" s="4">
        <f t="shared" si="25"/>
        <v>1402</v>
      </c>
      <c r="BC60" s="22">
        <f t="shared" si="25"/>
        <v>0</v>
      </c>
      <c r="BD60" s="22">
        <f t="shared" si="25"/>
        <v>0</v>
      </c>
      <c r="BE60" s="118"/>
    </row>
    <row r="61" spans="1:59" s="115" customFormat="1" ht="33.75" customHeight="1">
      <c r="A61" s="132" t="s">
        <v>94</v>
      </c>
      <c r="B61" s="91" t="s">
        <v>95</v>
      </c>
      <c r="C61" s="133"/>
      <c r="D61" s="133"/>
      <c r="E61" s="133"/>
      <c r="F61" s="133"/>
      <c r="G61" s="87"/>
      <c r="H61" s="87"/>
      <c r="I61" s="8"/>
      <c r="J61" s="4">
        <f t="shared" ref="J61:AU61" si="26">SUM(J62:J62)</f>
        <v>9658.9</v>
      </c>
      <c r="K61" s="4">
        <f t="shared" si="26"/>
        <v>9658.9</v>
      </c>
      <c r="L61" s="4">
        <f t="shared" si="26"/>
        <v>0</v>
      </c>
      <c r="M61" s="4">
        <f t="shared" si="26"/>
        <v>0</v>
      </c>
      <c r="N61" s="4">
        <f t="shared" si="26"/>
        <v>0</v>
      </c>
      <c r="O61" s="4">
        <f t="shared" si="26"/>
        <v>0</v>
      </c>
      <c r="P61" s="4">
        <f t="shared" si="26"/>
        <v>126</v>
      </c>
      <c r="Q61" s="4">
        <f t="shared" si="26"/>
        <v>126</v>
      </c>
      <c r="R61" s="4">
        <f t="shared" si="26"/>
        <v>9659</v>
      </c>
      <c r="S61" s="4">
        <f t="shared" si="26"/>
        <v>9659</v>
      </c>
      <c r="T61" s="4">
        <f t="shared" si="26"/>
        <v>0</v>
      </c>
      <c r="U61" s="4">
        <f t="shared" si="26"/>
        <v>0</v>
      </c>
      <c r="V61" s="4">
        <f t="shared" si="26"/>
        <v>3000</v>
      </c>
      <c r="W61" s="4">
        <f t="shared" si="26"/>
        <v>126</v>
      </c>
      <c r="X61" s="4">
        <f t="shared" si="26"/>
        <v>126</v>
      </c>
      <c r="Y61" s="4">
        <f t="shared" si="26"/>
        <v>0</v>
      </c>
      <c r="Z61" s="4">
        <f t="shared" si="26"/>
        <v>0</v>
      </c>
      <c r="AA61" s="4">
        <f t="shared" si="26"/>
        <v>3000</v>
      </c>
      <c r="AB61" s="4">
        <f t="shared" si="26"/>
        <v>3000</v>
      </c>
      <c r="AC61" s="4">
        <f t="shared" si="26"/>
        <v>0</v>
      </c>
      <c r="AD61" s="4">
        <f t="shared" si="26"/>
        <v>0</v>
      </c>
      <c r="AE61" s="4">
        <f t="shared" si="26"/>
        <v>3126</v>
      </c>
      <c r="AF61" s="4">
        <f t="shared" si="26"/>
        <v>3126</v>
      </c>
      <c r="AG61" s="4">
        <f t="shared" si="26"/>
        <v>0</v>
      </c>
      <c r="AH61" s="4">
        <f t="shared" si="26"/>
        <v>0</v>
      </c>
      <c r="AI61" s="4">
        <f t="shared" si="26"/>
        <v>3000</v>
      </c>
      <c r="AJ61" s="4">
        <f t="shared" si="26"/>
        <v>3000</v>
      </c>
      <c r="AK61" s="4">
        <f t="shared" si="26"/>
        <v>0</v>
      </c>
      <c r="AL61" s="4">
        <f t="shared" si="26"/>
        <v>0</v>
      </c>
      <c r="AM61" s="4">
        <f t="shared" si="26"/>
        <v>3000</v>
      </c>
      <c r="AN61" s="4">
        <f t="shared" si="26"/>
        <v>3000</v>
      </c>
      <c r="AO61" s="4">
        <f t="shared" si="26"/>
        <v>0</v>
      </c>
      <c r="AP61" s="4">
        <f t="shared" si="26"/>
        <v>0</v>
      </c>
      <c r="AQ61" s="22">
        <f t="shared" si="26"/>
        <v>6000</v>
      </c>
      <c r="AR61" s="22">
        <f t="shared" si="26"/>
        <v>6126</v>
      </c>
      <c r="AS61" s="22">
        <f t="shared" si="26"/>
        <v>6126</v>
      </c>
      <c r="AT61" s="22">
        <f t="shared" si="26"/>
        <v>1868</v>
      </c>
      <c r="AU61" s="22">
        <f t="shared" si="26"/>
        <v>1868</v>
      </c>
      <c r="AV61" s="22">
        <f t="shared" ref="AV61:BD61" si="27">SUM(AV62:AV62)</f>
        <v>0</v>
      </c>
      <c r="AW61" s="22">
        <f t="shared" si="27"/>
        <v>0</v>
      </c>
      <c r="AX61" s="4">
        <f t="shared" si="27"/>
        <v>7868</v>
      </c>
      <c r="AY61" s="4">
        <f t="shared" si="27"/>
        <v>7994</v>
      </c>
      <c r="AZ61" s="4">
        <f t="shared" si="27"/>
        <v>7994</v>
      </c>
      <c r="BA61" s="4">
        <f t="shared" si="27"/>
        <v>1402</v>
      </c>
      <c r="BB61" s="4">
        <f t="shared" si="27"/>
        <v>1402</v>
      </c>
      <c r="BC61" s="22">
        <f t="shared" si="27"/>
        <v>0</v>
      </c>
      <c r="BD61" s="22">
        <f t="shared" si="27"/>
        <v>0</v>
      </c>
      <c r="BE61" s="134"/>
      <c r="BF61" s="89"/>
    </row>
    <row r="62" spans="1:59" s="64" customFormat="1" ht="38.450000000000003" customHeight="1">
      <c r="A62" s="135">
        <v>1</v>
      </c>
      <c r="B62" s="136" t="s">
        <v>96</v>
      </c>
      <c r="C62" s="137" t="s">
        <v>97</v>
      </c>
      <c r="D62" s="137"/>
      <c r="E62" s="99" t="s">
        <v>98</v>
      </c>
      <c r="F62" s="137"/>
      <c r="G62" s="99" t="s">
        <v>99</v>
      </c>
      <c r="H62" s="138" t="s">
        <v>100</v>
      </c>
      <c r="I62" s="139" t="s">
        <v>101</v>
      </c>
      <c r="J62" s="3">
        <v>9658.9</v>
      </c>
      <c r="K62" s="3">
        <v>9658.9</v>
      </c>
      <c r="L62" s="3"/>
      <c r="M62" s="3"/>
      <c r="N62" s="3" t="s">
        <v>54</v>
      </c>
      <c r="O62" s="3"/>
      <c r="P62" s="3">
        <f t="shared" ref="P62:Q62" si="28">L62+W62</f>
        <v>126</v>
      </c>
      <c r="Q62" s="3">
        <f t="shared" si="28"/>
        <v>126</v>
      </c>
      <c r="R62" s="16">
        <f>S62</f>
        <v>9659</v>
      </c>
      <c r="S62" s="3">
        <v>9659</v>
      </c>
      <c r="T62" s="3"/>
      <c r="U62" s="3"/>
      <c r="V62" s="3">
        <v>3000</v>
      </c>
      <c r="W62" s="3">
        <v>126</v>
      </c>
      <c r="X62" s="3">
        <v>126</v>
      </c>
      <c r="Y62" s="3"/>
      <c r="Z62" s="3"/>
      <c r="AA62" s="3">
        <v>3000</v>
      </c>
      <c r="AB62" s="3">
        <v>3000</v>
      </c>
      <c r="AC62" s="3"/>
      <c r="AD62" s="3"/>
      <c r="AE62" s="3">
        <f>W62+AA62</f>
        <v>3126</v>
      </c>
      <c r="AF62" s="3">
        <f>X62+AB62</f>
        <v>3126</v>
      </c>
      <c r="AG62" s="3"/>
      <c r="AH62" s="3"/>
      <c r="AI62" s="3">
        <f>AM62</f>
        <v>3000</v>
      </c>
      <c r="AJ62" s="3">
        <f>AN62</f>
        <v>3000</v>
      </c>
      <c r="AK62" s="3">
        <f t="shared" ref="AK62:AL62" si="29">AO62</f>
        <v>0</v>
      </c>
      <c r="AL62" s="3">
        <f t="shared" si="29"/>
        <v>0</v>
      </c>
      <c r="AM62" s="3">
        <f>AN62</f>
        <v>3000</v>
      </c>
      <c r="AN62" s="3">
        <v>3000</v>
      </c>
      <c r="AO62" s="3"/>
      <c r="AP62" s="3"/>
      <c r="AQ62" s="3">
        <f>V62+AN62</f>
        <v>6000</v>
      </c>
      <c r="AR62" s="3">
        <f t="shared" ref="AR62" si="30">AS62</f>
        <v>6126</v>
      </c>
      <c r="AS62" s="3">
        <f t="shared" ref="AS62" si="31">AF62+AN62</f>
        <v>6126</v>
      </c>
      <c r="AT62" s="3">
        <f t="shared" ref="AT62" si="32">AU62</f>
        <v>1868</v>
      </c>
      <c r="AU62" s="3">
        <v>1868</v>
      </c>
      <c r="AV62" s="3"/>
      <c r="AW62" s="3"/>
      <c r="AX62" s="3">
        <f>AQ62+AU62</f>
        <v>7868</v>
      </c>
      <c r="AY62" s="3">
        <f>AZ62</f>
        <v>7994</v>
      </c>
      <c r="AZ62" s="3">
        <f>AS62+AU62</f>
        <v>7994</v>
      </c>
      <c r="BA62" s="3">
        <f>BB62</f>
        <v>1402</v>
      </c>
      <c r="BB62" s="3">
        <f>S62-AZ62-263</f>
        <v>1402</v>
      </c>
      <c r="BC62" s="3"/>
      <c r="BD62" s="3"/>
      <c r="BE62" s="140" t="s">
        <v>102</v>
      </c>
      <c r="BF62" s="64">
        <f>AU62</f>
        <v>1868</v>
      </c>
    </row>
    <row r="63" spans="1:59" s="115" customFormat="1" ht="32.450000000000003" customHeight="1">
      <c r="A63" s="132" t="s">
        <v>103</v>
      </c>
      <c r="B63" s="141" t="s">
        <v>104</v>
      </c>
      <c r="C63" s="133"/>
      <c r="D63" s="133"/>
      <c r="E63" s="133"/>
      <c r="F63" s="133"/>
      <c r="G63" s="87"/>
      <c r="H63" s="87"/>
      <c r="I63" s="8"/>
      <c r="J63" s="4">
        <f>J64</f>
        <v>390587.8</v>
      </c>
      <c r="K63" s="4">
        <f t="shared" ref="K63:BD63" si="33">K64</f>
        <v>203298</v>
      </c>
      <c r="L63" s="4">
        <f t="shared" si="33"/>
        <v>18222</v>
      </c>
      <c r="M63" s="4">
        <f t="shared" si="33"/>
        <v>0</v>
      </c>
      <c r="N63" s="4">
        <f t="shared" si="33"/>
        <v>0</v>
      </c>
      <c r="O63" s="4">
        <f t="shared" si="33"/>
        <v>0</v>
      </c>
      <c r="P63" s="4">
        <f t="shared" si="33"/>
        <v>18307</v>
      </c>
      <c r="Q63" s="4">
        <f t="shared" si="33"/>
        <v>85</v>
      </c>
      <c r="R63" s="4">
        <f t="shared" si="33"/>
        <v>123720</v>
      </c>
      <c r="S63" s="4">
        <f t="shared" si="33"/>
        <v>95498</v>
      </c>
      <c r="T63" s="4">
        <f t="shared" si="33"/>
        <v>0</v>
      </c>
      <c r="U63" s="4">
        <f t="shared" si="33"/>
        <v>0</v>
      </c>
      <c r="V63" s="4">
        <f t="shared" si="33"/>
        <v>0</v>
      </c>
      <c r="W63" s="4">
        <f t="shared" si="33"/>
        <v>119</v>
      </c>
      <c r="X63" s="4">
        <f t="shared" si="33"/>
        <v>119</v>
      </c>
      <c r="Y63" s="4">
        <f t="shared" si="33"/>
        <v>0</v>
      </c>
      <c r="Z63" s="4">
        <f t="shared" si="33"/>
        <v>0</v>
      </c>
      <c r="AA63" s="4">
        <f t="shared" si="33"/>
        <v>0</v>
      </c>
      <c r="AB63" s="4">
        <f t="shared" si="33"/>
        <v>0</v>
      </c>
      <c r="AC63" s="4">
        <f t="shared" si="33"/>
        <v>0</v>
      </c>
      <c r="AD63" s="4">
        <f t="shared" si="33"/>
        <v>0</v>
      </c>
      <c r="AE63" s="4">
        <f t="shared" si="33"/>
        <v>1137</v>
      </c>
      <c r="AF63" s="4">
        <f t="shared" si="33"/>
        <v>1137</v>
      </c>
      <c r="AG63" s="4">
        <f t="shared" si="33"/>
        <v>0</v>
      </c>
      <c r="AH63" s="4">
        <f t="shared" si="33"/>
        <v>0</v>
      </c>
      <c r="AI63" s="4">
        <f t="shared" si="33"/>
        <v>11600</v>
      </c>
      <c r="AJ63" s="4">
        <f t="shared" si="33"/>
        <v>11600</v>
      </c>
      <c r="AK63" s="4">
        <f t="shared" si="33"/>
        <v>0</v>
      </c>
      <c r="AL63" s="4">
        <f t="shared" si="33"/>
        <v>0</v>
      </c>
      <c r="AM63" s="4">
        <f t="shared" si="33"/>
        <v>15487</v>
      </c>
      <c r="AN63" s="4">
        <f>AN64</f>
        <v>15487</v>
      </c>
      <c r="AO63" s="4">
        <f t="shared" si="33"/>
        <v>0</v>
      </c>
      <c r="AP63" s="4">
        <f t="shared" si="33"/>
        <v>0</v>
      </c>
      <c r="AQ63" s="22">
        <f t="shared" si="33"/>
        <v>16530</v>
      </c>
      <c r="AR63" s="22">
        <f t="shared" si="33"/>
        <v>17633</v>
      </c>
      <c r="AS63" s="22">
        <f t="shared" si="33"/>
        <v>17633</v>
      </c>
      <c r="AT63" s="22">
        <f t="shared" si="33"/>
        <v>49524</v>
      </c>
      <c r="AU63" s="22">
        <f t="shared" si="33"/>
        <v>49524</v>
      </c>
      <c r="AV63" s="22">
        <f t="shared" si="33"/>
        <v>10000</v>
      </c>
      <c r="AW63" s="22">
        <f t="shared" si="33"/>
        <v>0</v>
      </c>
      <c r="AX63" s="4">
        <f t="shared" si="33"/>
        <v>77072</v>
      </c>
      <c r="AY63" s="4">
        <f t="shared" si="33"/>
        <v>67157</v>
      </c>
      <c r="AZ63" s="4">
        <f t="shared" si="33"/>
        <v>67157</v>
      </c>
      <c r="BA63" s="4">
        <f t="shared" si="33"/>
        <v>9212</v>
      </c>
      <c r="BB63" s="4">
        <f t="shared" si="33"/>
        <v>9212</v>
      </c>
      <c r="BC63" s="22">
        <f t="shared" si="33"/>
        <v>0</v>
      </c>
      <c r="BD63" s="22">
        <f t="shared" si="33"/>
        <v>0</v>
      </c>
      <c r="BE63" s="134"/>
      <c r="BF63" s="89"/>
    </row>
    <row r="64" spans="1:59" s="115" customFormat="1" ht="33.75" customHeight="1">
      <c r="A64" s="142" t="s">
        <v>94</v>
      </c>
      <c r="B64" s="93" t="s">
        <v>95</v>
      </c>
      <c r="C64" s="133"/>
      <c r="D64" s="133"/>
      <c r="E64" s="133"/>
      <c r="F64" s="133"/>
      <c r="G64" s="87"/>
      <c r="H64" s="87"/>
      <c r="I64" s="5"/>
      <c r="J64" s="4">
        <f>SUM(J65:J72)</f>
        <v>390587.8</v>
      </c>
      <c r="K64" s="4">
        <f t="shared" ref="K64:BD64" si="34">SUM(K65:K72)</f>
        <v>203298</v>
      </c>
      <c r="L64" s="4">
        <f t="shared" si="34"/>
        <v>18222</v>
      </c>
      <c r="M64" s="4">
        <f t="shared" si="34"/>
        <v>0</v>
      </c>
      <c r="N64" s="4">
        <f t="shared" si="34"/>
        <v>0</v>
      </c>
      <c r="O64" s="4">
        <f t="shared" si="34"/>
        <v>0</v>
      </c>
      <c r="P64" s="4">
        <f t="shared" si="34"/>
        <v>18307</v>
      </c>
      <c r="Q64" s="4">
        <f t="shared" si="34"/>
        <v>85</v>
      </c>
      <c r="R64" s="4">
        <f t="shared" si="34"/>
        <v>123720</v>
      </c>
      <c r="S64" s="4">
        <f t="shared" si="34"/>
        <v>95498</v>
      </c>
      <c r="T64" s="4">
        <f t="shared" si="34"/>
        <v>0</v>
      </c>
      <c r="U64" s="4">
        <f t="shared" si="34"/>
        <v>0</v>
      </c>
      <c r="V64" s="4">
        <f t="shared" si="34"/>
        <v>0</v>
      </c>
      <c r="W64" s="4">
        <f t="shared" si="34"/>
        <v>119</v>
      </c>
      <c r="X64" s="4">
        <f t="shared" si="34"/>
        <v>119</v>
      </c>
      <c r="Y64" s="4">
        <f t="shared" si="34"/>
        <v>0</v>
      </c>
      <c r="Z64" s="4">
        <f t="shared" si="34"/>
        <v>0</v>
      </c>
      <c r="AA64" s="4">
        <f t="shared" si="34"/>
        <v>0</v>
      </c>
      <c r="AB64" s="4">
        <f t="shared" si="34"/>
        <v>0</v>
      </c>
      <c r="AC64" s="4">
        <f t="shared" si="34"/>
        <v>0</v>
      </c>
      <c r="AD64" s="4">
        <f t="shared" si="34"/>
        <v>0</v>
      </c>
      <c r="AE64" s="4">
        <f t="shared" si="34"/>
        <v>1137</v>
      </c>
      <c r="AF64" s="4">
        <f t="shared" si="34"/>
        <v>1137</v>
      </c>
      <c r="AG64" s="4">
        <f t="shared" si="34"/>
        <v>0</v>
      </c>
      <c r="AH64" s="4">
        <f t="shared" si="34"/>
        <v>0</v>
      </c>
      <c r="AI64" s="4">
        <f t="shared" si="34"/>
        <v>11600</v>
      </c>
      <c r="AJ64" s="4">
        <f t="shared" si="34"/>
        <v>11600</v>
      </c>
      <c r="AK64" s="4">
        <f t="shared" si="34"/>
        <v>0</v>
      </c>
      <c r="AL64" s="4">
        <f t="shared" si="34"/>
        <v>0</v>
      </c>
      <c r="AM64" s="4">
        <f t="shared" si="34"/>
        <v>15487</v>
      </c>
      <c r="AN64" s="4">
        <f t="shared" si="34"/>
        <v>15487</v>
      </c>
      <c r="AO64" s="4">
        <f t="shared" si="34"/>
        <v>0</v>
      </c>
      <c r="AP64" s="4">
        <f t="shared" si="34"/>
        <v>0</v>
      </c>
      <c r="AQ64" s="4">
        <f t="shared" si="34"/>
        <v>16530</v>
      </c>
      <c r="AR64" s="4">
        <f t="shared" si="34"/>
        <v>17633</v>
      </c>
      <c r="AS64" s="4">
        <f t="shared" si="34"/>
        <v>17633</v>
      </c>
      <c r="AT64" s="4">
        <f t="shared" si="34"/>
        <v>49524</v>
      </c>
      <c r="AU64" s="4">
        <f t="shared" si="34"/>
        <v>49524</v>
      </c>
      <c r="AV64" s="4">
        <f t="shared" si="34"/>
        <v>10000</v>
      </c>
      <c r="AW64" s="4">
        <f t="shared" si="34"/>
        <v>0</v>
      </c>
      <c r="AX64" s="4">
        <f t="shared" si="34"/>
        <v>77072</v>
      </c>
      <c r="AY64" s="4">
        <f t="shared" si="34"/>
        <v>67157</v>
      </c>
      <c r="AZ64" s="4">
        <f t="shared" si="34"/>
        <v>67157</v>
      </c>
      <c r="BA64" s="4">
        <f t="shared" si="34"/>
        <v>9212</v>
      </c>
      <c r="BB64" s="4">
        <f t="shared" si="34"/>
        <v>9212</v>
      </c>
      <c r="BC64" s="4">
        <f t="shared" si="34"/>
        <v>0</v>
      </c>
      <c r="BD64" s="4">
        <f t="shared" si="34"/>
        <v>0</v>
      </c>
      <c r="BE64" s="134"/>
      <c r="BF64" s="89"/>
    </row>
    <row r="65" spans="1:60" s="146" customFormat="1" ht="46.5" customHeight="1">
      <c r="A65" s="143" t="s">
        <v>66</v>
      </c>
      <c r="B65" s="144" t="s">
        <v>105</v>
      </c>
      <c r="C65" s="137" t="s">
        <v>97</v>
      </c>
      <c r="D65" s="137"/>
      <c r="E65" s="137" t="s">
        <v>106</v>
      </c>
      <c r="F65" s="137"/>
      <c r="G65" s="99"/>
      <c r="H65" s="99" t="s">
        <v>107</v>
      </c>
      <c r="I65" s="15" t="s">
        <v>108</v>
      </c>
      <c r="J65" s="3">
        <v>40000</v>
      </c>
      <c r="K65" s="3">
        <v>20000</v>
      </c>
      <c r="L65" s="3">
        <v>18222</v>
      </c>
      <c r="M65" s="3"/>
      <c r="N65" s="3"/>
      <c r="O65" s="3"/>
      <c r="P65" s="3">
        <f t="shared" ref="P65:Q65" si="35">L65+W65</f>
        <v>18222</v>
      </c>
      <c r="Q65" s="3">
        <f t="shared" si="35"/>
        <v>0</v>
      </c>
      <c r="R65" s="3">
        <v>36444</v>
      </c>
      <c r="S65" s="3">
        <v>18222</v>
      </c>
      <c r="T65" s="3"/>
      <c r="U65" s="3"/>
      <c r="V65" s="3"/>
      <c r="W65" s="3"/>
      <c r="X65" s="3"/>
      <c r="Y65" s="3"/>
      <c r="Z65" s="3"/>
      <c r="AA65" s="3"/>
      <c r="AB65" s="3"/>
      <c r="AC65" s="3"/>
      <c r="AD65" s="3"/>
      <c r="AE65" s="3">
        <f>W65+AA65</f>
        <v>0</v>
      </c>
      <c r="AF65" s="3">
        <f>X65+AB65</f>
        <v>0</v>
      </c>
      <c r="AG65" s="3"/>
      <c r="AH65" s="3"/>
      <c r="AI65" s="3">
        <f>AJ65</f>
        <v>6500</v>
      </c>
      <c r="AJ65" s="3">
        <v>6500</v>
      </c>
      <c r="AK65" s="3">
        <f t="shared" ref="AK65:AL65" si="36">AO65</f>
        <v>0</v>
      </c>
      <c r="AL65" s="3">
        <f t="shared" si="36"/>
        <v>0</v>
      </c>
      <c r="AM65" s="3">
        <f>AN65</f>
        <v>5500</v>
      </c>
      <c r="AN65" s="3">
        <v>5500</v>
      </c>
      <c r="AO65" s="3"/>
      <c r="AP65" s="3"/>
      <c r="AQ65" s="12">
        <f>V65+AN65</f>
        <v>5500</v>
      </c>
      <c r="AR65" s="12">
        <f>AS65</f>
        <v>5500</v>
      </c>
      <c r="AS65" s="12">
        <f>AF65+AN65</f>
        <v>5500</v>
      </c>
      <c r="AT65" s="12">
        <f>AU65</f>
        <v>5500</v>
      </c>
      <c r="AU65" s="12">
        <v>5500</v>
      </c>
      <c r="AV65" s="12"/>
      <c r="AW65" s="12"/>
      <c r="AX65" s="3">
        <f t="shared" ref="AX65:AX71" si="37">AQ65+AU65</f>
        <v>11000</v>
      </c>
      <c r="AY65" s="3">
        <f t="shared" ref="AY65:AY71" si="38">AZ65</f>
        <v>11000</v>
      </c>
      <c r="AZ65" s="3">
        <f t="shared" ref="AZ65:AZ71" si="39">AS65+AU65</f>
        <v>11000</v>
      </c>
      <c r="BA65" s="3">
        <f t="shared" ref="BA65:BA71" si="40">BB65</f>
        <v>0</v>
      </c>
      <c r="BB65" s="3">
        <v>0</v>
      </c>
      <c r="BC65" s="3"/>
      <c r="BD65" s="3"/>
      <c r="BE65" s="145" t="s">
        <v>109</v>
      </c>
      <c r="BF65" s="57"/>
      <c r="BH65" s="146">
        <f>+BB65-6317</f>
        <v>-6317</v>
      </c>
    </row>
    <row r="66" spans="1:60" s="64" customFormat="1" ht="51" hidden="1" customHeight="1">
      <c r="A66" s="147">
        <v>2</v>
      </c>
      <c r="B66" s="148" t="s">
        <v>110</v>
      </c>
      <c r="C66" s="137" t="s">
        <v>97</v>
      </c>
      <c r="D66" s="137"/>
      <c r="E66" s="137" t="s">
        <v>111</v>
      </c>
      <c r="F66" s="137"/>
      <c r="G66" s="149"/>
      <c r="H66" s="105" t="s">
        <v>112</v>
      </c>
      <c r="I66" s="150" t="s">
        <v>113</v>
      </c>
      <c r="J66" s="151">
        <v>279797.8</v>
      </c>
      <c r="K66" s="151">
        <v>121838</v>
      </c>
      <c r="L66" s="3"/>
      <c r="M66" s="3"/>
      <c r="N66" s="3"/>
      <c r="O66" s="3"/>
      <c r="P66" s="3"/>
      <c r="Q66" s="3"/>
      <c r="R66" s="16">
        <f>+S66:S66</f>
        <v>30805</v>
      </c>
      <c r="S66" s="3">
        <v>30805</v>
      </c>
      <c r="T66" s="3"/>
      <c r="U66" s="3"/>
      <c r="V66" s="3"/>
      <c r="W66" s="3"/>
      <c r="X66" s="3"/>
      <c r="Y66" s="3"/>
      <c r="Z66" s="3"/>
      <c r="AA66" s="3"/>
      <c r="AB66" s="3"/>
      <c r="AC66" s="3"/>
      <c r="AD66" s="3"/>
      <c r="AE66" s="3">
        <f>AF66</f>
        <v>1018</v>
      </c>
      <c r="AF66" s="3">
        <v>1018</v>
      </c>
      <c r="AG66" s="3"/>
      <c r="AH66" s="3"/>
      <c r="AI66" s="3"/>
      <c r="AJ66" s="3"/>
      <c r="AK66" s="3"/>
      <c r="AL66" s="3"/>
      <c r="AM66" s="3">
        <f t="shared" ref="AM66" si="41">AN66</f>
        <v>6387</v>
      </c>
      <c r="AN66" s="3">
        <f>5787+600</f>
        <v>6387</v>
      </c>
      <c r="AO66" s="3"/>
      <c r="AP66" s="3"/>
      <c r="AQ66" s="12">
        <f>V66+AN66</f>
        <v>6387</v>
      </c>
      <c r="AR66" s="12">
        <f t="shared" ref="AR66" si="42">AS66</f>
        <v>7405</v>
      </c>
      <c r="AS66" s="12">
        <f t="shared" ref="AS66" si="43">AF66+AN66</f>
        <v>7405</v>
      </c>
      <c r="AT66" s="12">
        <f t="shared" ref="AT66" si="44">AU66</f>
        <v>13400</v>
      </c>
      <c r="AU66" s="12">
        <v>13400</v>
      </c>
      <c r="AV66" s="12">
        <v>10000</v>
      </c>
      <c r="AW66" s="12"/>
      <c r="AX66" s="3">
        <v>30805</v>
      </c>
      <c r="AY66" s="3">
        <f t="shared" si="38"/>
        <v>20805</v>
      </c>
      <c r="AZ66" s="3">
        <f>AS66+AU66</f>
        <v>20805</v>
      </c>
      <c r="BA66" s="3">
        <f t="shared" si="40"/>
        <v>0</v>
      </c>
      <c r="BB66" s="3"/>
      <c r="BC66" s="3"/>
      <c r="BD66" s="3"/>
      <c r="BE66" s="145"/>
      <c r="BF66" s="111"/>
    </row>
    <row r="67" spans="1:60" s="64" customFormat="1" ht="44.1" customHeight="1">
      <c r="A67" s="147">
        <v>2</v>
      </c>
      <c r="B67" s="152" t="s">
        <v>114</v>
      </c>
      <c r="C67" s="137" t="s">
        <v>97</v>
      </c>
      <c r="D67" s="137"/>
      <c r="E67" s="105" t="s">
        <v>115</v>
      </c>
      <c r="F67" s="137"/>
      <c r="G67" s="149"/>
      <c r="H67" s="99" t="s">
        <v>116</v>
      </c>
      <c r="I67" s="15" t="s">
        <v>117</v>
      </c>
      <c r="J67" s="3">
        <f>K67</f>
        <v>9900</v>
      </c>
      <c r="K67" s="3">
        <v>9900</v>
      </c>
      <c r="L67" s="23"/>
      <c r="M67" s="23"/>
      <c r="N67" s="23"/>
      <c r="O67" s="23"/>
      <c r="P67" s="3">
        <f>L67+W67</f>
        <v>85</v>
      </c>
      <c r="Q67" s="3">
        <f>M67+X67</f>
        <v>85</v>
      </c>
      <c r="R67" s="16">
        <v>9900</v>
      </c>
      <c r="S67" s="16">
        <v>9900</v>
      </c>
      <c r="T67" s="23"/>
      <c r="U67" s="23"/>
      <c r="V67" s="23"/>
      <c r="W67" s="16">
        <v>85</v>
      </c>
      <c r="X67" s="16">
        <v>85</v>
      </c>
      <c r="Y67" s="23"/>
      <c r="Z67" s="23"/>
      <c r="AA67" s="23"/>
      <c r="AB67" s="23"/>
      <c r="AC67" s="23"/>
      <c r="AD67" s="23"/>
      <c r="AE67" s="3">
        <f>W67+AA67</f>
        <v>85</v>
      </c>
      <c r="AF67" s="3">
        <f>X67+AB67</f>
        <v>85</v>
      </c>
      <c r="AG67" s="3"/>
      <c r="AH67" s="3"/>
      <c r="AI67" s="3">
        <f>AJ67</f>
        <v>5000</v>
      </c>
      <c r="AJ67" s="3">
        <v>5000</v>
      </c>
      <c r="AK67" s="3">
        <f>AO67</f>
        <v>0</v>
      </c>
      <c r="AL67" s="3">
        <f>AP67</f>
        <v>0</v>
      </c>
      <c r="AM67" s="16">
        <f>AN67</f>
        <v>3500</v>
      </c>
      <c r="AN67" s="16">
        <v>3500</v>
      </c>
      <c r="AO67" s="23"/>
      <c r="AP67" s="23"/>
      <c r="AQ67" s="12">
        <f>V67+AN67</f>
        <v>3500</v>
      </c>
      <c r="AR67" s="12">
        <f>AS67</f>
        <v>3585</v>
      </c>
      <c r="AS67" s="12">
        <f>AF67+AN67</f>
        <v>3585</v>
      </c>
      <c r="AT67" s="12">
        <f>AU67</f>
        <v>4722</v>
      </c>
      <c r="AU67" s="12">
        <f>2500+2222</f>
        <v>4722</v>
      </c>
      <c r="AV67" s="55"/>
      <c r="AW67" s="55"/>
      <c r="AX67" s="3">
        <f t="shared" si="37"/>
        <v>8222</v>
      </c>
      <c r="AY67" s="3">
        <f t="shared" si="38"/>
        <v>8307</v>
      </c>
      <c r="AZ67" s="3">
        <f t="shared" si="39"/>
        <v>8307</v>
      </c>
      <c r="BA67" s="3">
        <f t="shared" si="40"/>
        <v>1593</v>
      </c>
      <c r="BB67" s="3">
        <f>S67-AZ67</f>
        <v>1593</v>
      </c>
      <c r="BC67" s="23"/>
      <c r="BD67" s="23"/>
      <c r="BE67" s="145" t="s">
        <v>118</v>
      </c>
      <c r="BF67" s="111"/>
    </row>
    <row r="68" spans="1:60" s="146" customFormat="1" ht="34.5" hidden="1" customHeight="1">
      <c r="A68" s="147">
        <v>3</v>
      </c>
      <c r="B68" s="136" t="s">
        <v>119</v>
      </c>
      <c r="C68" s="137" t="s">
        <v>97</v>
      </c>
      <c r="D68" s="137"/>
      <c r="E68" s="105" t="s">
        <v>115</v>
      </c>
      <c r="F68" s="137"/>
      <c r="G68" s="99" t="s">
        <v>120</v>
      </c>
      <c r="H68" s="99" t="s">
        <v>121</v>
      </c>
      <c r="I68" s="15" t="s">
        <v>122</v>
      </c>
      <c r="J68" s="3">
        <v>14900</v>
      </c>
      <c r="K68" s="3">
        <v>5570</v>
      </c>
      <c r="L68" s="3"/>
      <c r="M68" s="3"/>
      <c r="N68" s="3"/>
      <c r="O68" s="3"/>
      <c r="P68" s="3">
        <f>L68+W68</f>
        <v>0</v>
      </c>
      <c r="Q68" s="3">
        <f>M68+X68</f>
        <v>0</v>
      </c>
      <c r="R68" s="3">
        <f>+S68</f>
        <v>5571</v>
      </c>
      <c r="S68" s="3">
        <v>5571</v>
      </c>
      <c r="T68" s="3"/>
      <c r="U68" s="3"/>
      <c r="V68" s="3"/>
      <c r="W68" s="3"/>
      <c r="X68" s="3"/>
      <c r="Y68" s="3"/>
      <c r="Z68" s="3"/>
      <c r="AA68" s="3"/>
      <c r="AB68" s="3"/>
      <c r="AC68" s="3"/>
      <c r="AD68" s="3"/>
      <c r="AE68" s="3">
        <f>W68+AA68</f>
        <v>0</v>
      </c>
      <c r="AF68" s="3">
        <f>X68+AB68</f>
        <v>0</v>
      </c>
      <c r="AG68" s="3"/>
      <c r="AH68" s="3"/>
      <c r="AI68" s="3">
        <f>AM68</f>
        <v>50</v>
      </c>
      <c r="AJ68" s="3">
        <f>AN68</f>
        <v>50</v>
      </c>
      <c r="AK68" s="3">
        <f>AO68</f>
        <v>0</v>
      </c>
      <c r="AL68" s="3">
        <f>AP68</f>
        <v>0</v>
      </c>
      <c r="AM68" s="3">
        <f>AN68</f>
        <v>50</v>
      </c>
      <c r="AN68" s="3">
        <v>50</v>
      </c>
      <c r="AO68" s="3"/>
      <c r="AP68" s="3"/>
      <c r="AQ68" s="12">
        <f>V68+AN68</f>
        <v>50</v>
      </c>
      <c r="AR68" s="12">
        <f t="shared" ref="AR68" si="45">AS68</f>
        <v>50</v>
      </c>
      <c r="AS68" s="12">
        <f t="shared" ref="AS68" si="46">AF68+AN68</f>
        <v>50</v>
      </c>
      <c r="AT68" s="12">
        <f t="shared" ref="AT68" si="47">AU68</f>
        <v>5571</v>
      </c>
      <c r="AU68" s="12">
        <f>3400+2171</f>
        <v>5571</v>
      </c>
      <c r="AV68" s="12"/>
      <c r="AW68" s="12"/>
      <c r="AX68" s="3">
        <f t="shared" si="37"/>
        <v>5621</v>
      </c>
      <c r="AY68" s="3">
        <f t="shared" si="38"/>
        <v>5621</v>
      </c>
      <c r="AZ68" s="3">
        <f t="shared" si="39"/>
        <v>5621</v>
      </c>
      <c r="BA68" s="3">
        <f t="shared" si="40"/>
        <v>0</v>
      </c>
      <c r="BB68" s="3"/>
      <c r="BC68" s="3"/>
      <c r="BD68" s="3"/>
      <c r="BE68" s="99"/>
      <c r="BF68" s="57">
        <f>AU68</f>
        <v>5571</v>
      </c>
    </row>
    <row r="69" spans="1:60" s="146" customFormat="1" ht="42" customHeight="1">
      <c r="A69" s="147">
        <v>3</v>
      </c>
      <c r="B69" s="148" t="s">
        <v>123</v>
      </c>
      <c r="C69" s="137" t="s">
        <v>97</v>
      </c>
      <c r="D69" s="137"/>
      <c r="E69" s="105" t="s">
        <v>124</v>
      </c>
      <c r="F69" s="137"/>
      <c r="G69" s="99"/>
      <c r="H69" s="99" t="s">
        <v>125</v>
      </c>
      <c r="I69" s="24" t="s">
        <v>126</v>
      </c>
      <c r="J69" s="151">
        <f>+K69</f>
        <v>8000</v>
      </c>
      <c r="K69" s="151">
        <v>8000</v>
      </c>
      <c r="L69" s="3"/>
      <c r="M69" s="3"/>
      <c r="N69" s="3"/>
      <c r="O69" s="3"/>
      <c r="P69" s="3"/>
      <c r="Q69" s="3"/>
      <c r="R69" s="3">
        <f>S69</f>
        <v>8000</v>
      </c>
      <c r="S69" s="3">
        <v>8000</v>
      </c>
      <c r="T69" s="3"/>
      <c r="U69" s="3"/>
      <c r="V69" s="3"/>
      <c r="W69" s="3"/>
      <c r="X69" s="3"/>
      <c r="Y69" s="3"/>
      <c r="Z69" s="3"/>
      <c r="AA69" s="3"/>
      <c r="AB69" s="3"/>
      <c r="AC69" s="3"/>
      <c r="AD69" s="3"/>
      <c r="AE69" s="3"/>
      <c r="AF69" s="3"/>
      <c r="AG69" s="3"/>
      <c r="AH69" s="3"/>
      <c r="AI69" s="3"/>
      <c r="AJ69" s="3"/>
      <c r="AK69" s="3"/>
      <c r="AL69" s="3"/>
      <c r="AM69" s="3"/>
      <c r="AN69" s="3"/>
      <c r="AO69" s="3"/>
      <c r="AP69" s="3"/>
      <c r="AQ69" s="12">
        <v>50</v>
      </c>
      <c r="AR69" s="12">
        <f>+AS69</f>
        <v>50</v>
      </c>
      <c r="AS69" s="12">
        <v>50</v>
      </c>
      <c r="AT69" s="12">
        <f>AU69</f>
        <v>6353</v>
      </c>
      <c r="AU69" s="12">
        <f>3000+3353</f>
        <v>6353</v>
      </c>
      <c r="AV69" s="12"/>
      <c r="AW69" s="12"/>
      <c r="AX69" s="3">
        <f t="shared" si="37"/>
        <v>6403</v>
      </c>
      <c r="AY69" s="3">
        <f t="shared" si="38"/>
        <v>6403</v>
      </c>
      <c r="AZ69" s="3">
        <f t="shared" si="39"/>
        <v>6403</v>
      </c>
      <c r="BA69" s="3">
        <f t="shared" si="40"/>
        <v>1597</v>
      </c>
      <c r="BB69" s="3">
        <f>S69-AZ69</f>
        <v>1597</v>
      </c>
      <c r="BC69" s="3"/>
      <c r="BD69" s="3"/>
      <c r="BE69" s="145" t="s">
        <v>118</v>
      </c>
      <c r="BF69" s="57"/>
    </row>
    <row r="70" spans="1:60" s="146" customFormat="1" ht="42" customHeight="1">
      <c r="A70" s="147">
        <v>4</v>
      </c>
      <c r="B70" s="148" t="s">
        <v>127</v>
      </c>
      <c r="C70" s="137"/>
      <c r="D70" s="137"/>
      <c r="E70" s="105" t="s">
        <v>115</v>
      </c>
      <c r="F70" s="137"/>
      <c r="G70" s="99"/>
      <c r="H70" s="99"/>
      <c r="I70" s="24" t="s">
        <v>128</v>
      </c>
      <c r="J70" s="151">
        <f>+K70</f>
        <v>20000</v>
      </c>
      <c r="K70" s="151">
        <v>20000</v>
      </c>
      <c r="L70" s="3"/>
      <c r="M70" s="3"/>
      <c r="N70" s="3"/>
      <c r="O70" s="3"/>
      <c r="P70" s="3"/>
      <c r="Q70" s="3"/>
      <c r="R70" s="3">
        <f>+S70</f>
        <v>15000</v>
      </c>
      <c r="S70" s="153">
        <v>15000</v>
      </c>
      <c r="T70" s="3"/>
      <c r="U70" s="3"/>
      <c r="V70" s="3"/>
      <c r="W70" s="3"/>
      <c r="X70" s="3"/>
      <c r="Y70" s="3"/>
      <c r="Z70" s="3"/>
      <c r="AA70" s="3"/>
      <c r="AB70" s="3"/>
      <c r="AC70" s="3"/>
      <c r="AD70" s="3"/>
      <c r="AE70" s="3"/>
      <c r="AF70" s="3"/>
      <c r="AG70" s="3"/>
      <c r="AH70" s="3"/>
      <c r="AI70" s="3"/>
      <c r="AJ70" s="3"/>
      <c r="AK70" s="3"/>
      <c r="AL70" s="3"/>
      <c r="AM70" s="3"/>
      <c r="AN70" s="3"/>
      <c r="AO70" s="3"/>
      <c r="AP70" s="3"/>
      <c r="AQ70" s="12"/>
      <c r="AR70" s="12"/>
      <c r="AS70" s="12"/>
      <c r="AT70" s="12">
        <f>+AU70</f>
        <v>10978</v>
      </c>
      <c r="AU70" s="12">
        <f>4400+6578</f>
        <v>10978</v>
      </c>
      <c r="AV70" s="12"/>
      <c r="AW70" s="12"/>
      <c r="AX70" s="3">
        <f t="shared" si="37"/>
        <v>10978</v>
      </c>
      <c r="AY70" s="3">
        <f t="shared" si="38"/>
        <v>10978</v>
      </c>
      <c r="AZ70" s="3">
        <f t="shared" si="39"/>
        <v>10978</v>
      </c>
      <c r="BA70" s="3">
        <f t="shared" si="40"/>
        <v>4022</v>
      </c>
      <c r="BB70" s="3">
        <f>S70-AZ70</f>
        <v>4022</v>
      </c>
      <c r="BC70" s="3"/>
      <c r="BD70" s="3"/>
      <c r="BE70" s="145" t="s">
        <v>118</v>
      </c>
      <c r="BF70" s="57"/>
    </row>
    <row r="71" spans="1:60" s="64" customFormat="1" ht="54" customHeight="1">
      <c r="A71" s="147">
        <v>5</v>
      </c>
      <c r="B71" s="148" t="s">
        <v>129</v>
      </c>
      <c r="C71" s="137" t="s">
        <v>97</v>
      </c>
      <c r="D71" s="137"/>
      <c r="E71" s="137"/>
      <c r="F71" s="137"/>
      <c r="G71" s="149"/>
      <c r="H71" s="99" t="s">
        <v>125</v>
      </c>
      <c r="I71" s="24" t="s">
        <v>130</v>
      </c>
      <c r="J71" s="154">
        <f>+K71</f>
        <v>14990</v>
      </c>
      <c r="K71" s="154">
        <v>14990</v>
      </c>
      <c r="L71" s="12"/>
      <c r="M71" s="12"/>
      <c r="N71" s="12"/>
      <c r="O71" s="12"/>
      <c r="P71" s="12"/>
      <c r="Q71" s="12"/>
      <c r="R71" s="12">
        <v>15000</v>
      </c>
      <c r="S71" s="12">
        <v>5000</v>
      </c>
      <c r="T71" s="3"/>
      <c r="U71" s="3"/>
      <c r="V71" s="3"/>
      <c r="W71" s="3">
        <v>34</v>
      </c>
      <c r="X71" s="3">
        <v>34</v>
      </c>
      <c r="Y71" s="3"/>
      <c r="Z71" s="3"/>
      <c r="AA71" s="3"/>
      <c r="AB71" s="3"/>
      <c r="AC71" s="3"/>
      <c r="AD71" s="3"/>
      <c r="AE71" s="3">
        <f>W71+AA71</f>
        <v>34</v>
      </c>
      <c r="AF71" s="3">
        <f>X71+AB71</f>
        <v>34</v>
      </c>
      <c r="AG71" s="3"/>
      <c r="AH71" s="3"/>
      <c r="AI71" s="3">
        <f t="shared" ref="AI71:AL71" si="48">AM71</f>
        <v>50</v>
      </c>
      <c r="AJ71" s="3">
        <f t="shared" si="48"/>
        <v>50</v>
      </c>
      <c r="AK71" s="3">
        <f t="shared" si="48"/>
        <v>0</v>
      </c>
      <c r="AL71" s="3">
        <f t="shared" si="48"/>
        <v>0</v>
      </c>
      <c r="AM71" s="16">
        <f>AN71</f>
        <v>50</v>
      </c>
      <c r="AN71" s="16">
        <v>50</v>
      </c>
      <c r="AO71" s="3"/>
      <c r="AP71" s="3"/>
      <c r="AQ71" s="12"/>
      <c r="AR71" s="12"/>
      <c r="AS71" s="12"/>
      <c r="AT71" s="12">
        <f t="shared" ref="AT71" si="49">AU71</f>
        <v>3000</v>
      </c>
      <c r="AU71" s="12">
        <v>3000</v>
      </c>
      <c r="AV71" s="12"/>
      <c r="AW71" s="12"/>
      <c r="AX71" s="3">
        <f t="shared" si="37"/>
        <v>3000</v>
      </c>
      <c r="AY71" s="3">
        <f t="shared" si="38"/>
        <v>3000</v>
      </c>
      <c r="AZ71" s="3">
        <f t="shared" si="39"/>
        <v>3000</v>
      </c>
      <c r="BA71" s="3">
        <f t="shared" si="40"/>
        <v>2000</v>
      </c>
      <c r="BB71" s="3">
        <v>2000</v>
      </c>
      <c r="BC71" s="3"/>
      <c r="BD71" s="3"/>
      <c r="BE71" s="99"/>
      <c r="BF71" s="111"/>
    </row>
    <row r="72" spans="1:60" s="64" customFormat="1" ht="54" hidden="1" customHeight="1">
      <c r="A72" s="147">
        <v>8</v>
      </c>
      <c r="B72" s="136" t="s">
        <v>131</v>
      </c>
      <c r="C72" s="137"/>
      <c r="D72" s="137"/>
      <c r="E72" s="155" t="s">
        <v>132</v>
      </c>
      <c r="F72" s="137"/>
      <c r="G72" s="155" t="s">
        <v>133</v>
      </c>
      <c r="H72" s="138" t="s">
        <v>134</v>
      </c>
      <c r="I72" s="156" t="s">
        <v>135</v>
      </c>
      <c r="J72" s="16">
        <v>3000</v>
      </c>
      <c r="K72" s="16">
        <v>3000</v>
      </c>
      <c r="L72" s="3"/>
      <c r="M72" s="3"/>
      <c r="N72" s="3"/>
      <c r="O72" s="3"/>
      <c r="P72" s="3"/>
      <c r="Q72" s="3"/>
      <c r="R72" s="3">
        <f>+S72</f>
        <v>3000</v>
      </c>
      <c r="S72" s="3">
        <v>3000</v>
      </c>
      <c r="T72" s="3"/>
      <c r="U72" s="3"/>
      <c r="V72" s="3"/>
      <c r="W72" s="3"/>
      <c r="X72" s="3"/>
      <c r="Y72" s="3"/>
      <c r="Z72" s="3"/>
      <c r="AA72" s="3"/>
      <c r="AB72" s="3"/>
      <c r="AC72" s="3"/>
      <c r="AD72" s="3"/>
      <c r="AE72" s="3"/>
      <c r="AF72" s="3"/>
      <c r="AG72" s="3"/>
      <c r="AH72" s="3"/>
      <c r="AI72" s="3"/>
      <c r="AJ72" s="3"/>
      <c r="AK72" s="3"/>
      <c r="AL72" s="3"/>
      <c r="AM72" s="16"/>
      <c r="AN72" s="16"/>
      <c r="AO72" s="3"/>
      <c r="AP72" s="3"/>
      <c r="AQ72" s="3">
        <v>1043</v>
      </c>
      <c r="AR72" s="3">
        <f>+AS72</f>
        <v>1043</v>
      </c>
      <c r="AS72" s="3">
        <v>1043</v>
      </c>
      <c r="AT72" s="3"/>
      <c r="AU72" s="3"/>
      <c r="AV72" s="3"/>
      <c r="AW72" s="3"/>
      <c r="AX72" s="3">
        <f>+AY72</f>
        <v>1043</v>
      </c>
      <c r="AY72" s="3">
        <f>+AZ72</f>
        <v>1043</v>
      </c>
      <c r="AZ72" s="3">
        <v>1043</v>
      </c>
      <c r="BA72" s="3">
        <f>+BB72</f>
        <v>0</v>
      </c>
      <c r="BB72" s="3"/>
      <c r="BC72" s="3"/>
      <c r="BD72" s="3"/>
      <c r="BE72" s="145" t="s">
        <v>136</v>
      </c>
    </row>
    <row r="73" spans="1:60" s="115" customFormat="1" ht="38.450000000000003" customHeight="1">
      <c r="A73" s="75" t="s">
        <v>137</v>
      </c>
      <c r="B73" s="141" t="s">
        <v>138</v>
      </c>
      <c r="C73" s="133"/>
      <c r="D73" s="133"/>
      <c r="E73" s="133"/>
      <c r="F73" s="133"/>
      <c r="G73" s="87"/>
      <c r="H73" s="87"/>
      <c r="I73" s="5"/>
      <c r="J73" s="4">
        <f>J74</f>
        <v>33400</v>
      </c>
      <c r="K73" s="4">
        <f t="shared" ref="K73:BD73" si="50">K74</f>
        <v>33400</v>
      </c>
      <c r="L73" s="4">
        <f t="shared" si="50"/>
        <v>0</v>
      </c>
      <c r="M73" s="4">
        <f t="shared" si="50"/>
        <v>0</v>
      </c>
      <c r="N73" s="4">
        <f t="shared" si="50"/>
        <v>0</v>
      </c>
      <c r="O73" s="4">
        <f t="shared" si="50"/>
        <v>0</v>
      </c>
      <c r="P73" s="4">
        <f t="shared" si="50"/>
        <v>0</v>
      </c>
      <c r="Q73" s="4">
        <f t="shared" si="50"/>
        <v>0</v>
      </c>
      <c r="R73" s="4">
        <f t="shared" si="50"/>
        <v>16201</v>
      </c>
      <c r="S73" s="4">
        <f t="shared" si="50"/>
        <v>16201</v>
      </c>
      <c r="T73" s="4">
        <f t="shared" si="50"/>
        <v>0</v>
      </c>
      <c r="U73" s="4">
        <f t="shared" si="50"/>
        <v>0</v>
      </c>
      <c r="V73" s="4">
        <f t="shared" si="50"/>
        <v>0</v>
      </c>
      <c r="W73" s="4">
        <f t="shared" si="50"/>
        <v>0</v>
      </c>
      <c r="X73" s="4">
        <f t="shared" si="50"/>
        <v>0</v>
      </c>
      <c r="Y73" s="4">
        <f t="shared" si="50"/>
        <v>0</v>
      </c>
      <c r="Z73" s="4">
        <f t="shared" si="50"/>
        <v>0</v>
      </c>
      <c r="AA73" s="4">
        <f t="shared" si="50"/>
        <v>0</v>
      </c>
      <c r="AB73" s="4">
        <f t="shared" si="50"/>
        <v>0</v>
      </c>
      <c r="AC73" s="4">
        <f t="shared" si="50"/>
        <v>0</v>
      </c>
      <c r="AD73" s="4">
        <f t="shared" si="50"/>
        <v>0</v>
      </c>
      <c r="AE73" s="4">
        <f t="shared" si="50"/>
        <v>0</v>
      </c>
      <c r="AF73" s="4">
        <f t="shared" si="50"/>
        <v>0</v>
      </c>
      <c r="AG73" s="4">
        <f t="shared" si="50"/>
        <v>0</v>
      </c>
      <c r="AH73" s="4">
        <f t="shared" si="50"/>
        <v>0</v>
      </c>
      <c r="AI73" s="4">
        <f t="shared" si="50"/>
        <v>0</v>
      </c>
      <c r="AJ73" s="4">
        <f t="shared" si="50"/>
        <v>0</v>
      </c>
      <c r="AK73" s="4">
        <f t="shared" si="50"/>
        <v>0</v>
      </c>
      <c r="AL73" s="4">
        <f t="shared" si="50"/>
        <v>0</v>
      </c>
      <c r="AM73" s="4">
        <f t="shared" si="50"/>
        <v>0</v>
      </c>
      <c r="AN73" s="4">
        <f t="shared" si="50"/>
        <v>0</v>
      </c>
      <c r="AO73" s="4">
        <f t="shared" si="50"/>
        <v>0</v>
      </c>
      <c r="AP73" s="4">
        <f t="shared" si="50"/>
        <v>0</v>
      </c>
      <c r="AQ73" s="22">
        <f t="shared" si="50"/>
        <v>0</v>
      </c>
      <c r="AR73" s="22">
        <f t="shared" si="50"/>
        <v>0</v>
      </c>
      <c r="AS73" s="22">
        <f t="shared" si="50"/>
        <v>0</v>
      </c>
      <c r="AT73" s="22">
        <f t="shared" si="50"/>
        <v>0</v>
      </c>
      <c r="AU73" s="22">
        <f t="shared" si="50"/>
        <v>0</v>
      </c>
      <c r="AV73" s="22">
        <f t="shared" si="50"/>
        <v>0</v>
      </c>
      <c r="AW73" s="22">
        <f t="shared" si="50"/>
        <v>0</v>
      </c>
      <c r="AX73" s="4">
        <f t="shared" si="50"/>
        <v>0</v>
      </c>
      <c r="AY73" s="4">
        <f t="shared" si="50"/>
        <v>0</v>
      </c>
      <c r="AZ73" s="4">
        <f t="shared" si="50"/>
        <v>0</v>
      </c>
      <c r="BA73" s="4">
        <f t="shared" si="50"/>
        <v>16201</v>
      </c>
      <c r="BB73" s="4">
        <f t="shared" si="50"/>
        <v>16201</v>
      </c>
      <c r="BC73" s="22">
        <f t="shared" si="50"/>
        <v>0</v>
      </c>
      <c r="BD73" s="22">
        <f t="shared" si="50"/>
        <v>0</v>
      </c>
      <c r="BE73" s="87"/>
      <c r="BF73" s="89"/>
    </row>
    <row r="74" spans="1:60" s="115" customFormat="1" ht="34.5" customHeight="1">
      <c r="A74" s="75"/>
      <c r="B74" s="93" t="s">
        <v>95</v>
      </c>
      <c r="C74" s="133"/>
      <c r="D74" s="133"/>
      <c r="E74" s="133"/>
      <c r="F74" s="133"/>
      <c r="G74" s="157"/>
      <c r="H74" s="87"/>
      <c r="I74" s="8"/>
      <c r="J74" s="9">
        <f>J75+J76+J77</f>
        <v>33400</v>
      </c>
      <c r="K74" s="9">
        <f t="shared" ref="K74:BD74" si="51">K75+K76+K77</f>
        <v>33400</v>
      </c>
      <c r="L74" s="9">
        <f t="shared" si="51"/>
        <v>0</v>
      </c>
      <c r="M74" s="9">
        <f t="shared" si="51"/>
        <v>0</v>
      </c>
      <c r="N74" s="9">
        <f t="shared" si="51"/>
        <v>0</v>
      </c>
      <c r="O74" s="9">
        <f t="shared" si="51"/>
        <v>0</v>
      </c>
      <c r="P74" s="9">
        <f t="shared" si="51"/>
        <v>0</v>
      </c>
      <c r="Q74" s="9">
        <f t="shared" si="51"/>
        <v>0</v>
      </c>
      <c r="R74" s="9">
        <f t="shared" si="51"/>
        <v>16201</v>
      </c>
      <c r="S74" s="9">
        <f t="shared" si="51"/>
        <v>16201</v>
      </c>
      <c r="T74" s="9">
        <f t="shared" si="51"/>
        <v>0</v>
      </c>
      <c r="U74" s="9">
        <f t="shared" si="51"/>
        <v>0</v>
      </c>
      <c r="V74" s="9">
        <f t="shared" si="51"/>
        <v>0</v>
      </c>
      <c r="W74" s="9">
        <f t="shared" si="51"/>
        <v>0</v>
      </c>
      <c r="X74" s="9">
        <f t="shared" si="51"/>
        <v>0</v>
      </c>
      <c r="Y74" s="9">
        <f t="shared" si="51"/>
        <v>0</v>
      </c>
      <c r="Z74" s="9">
        <f t="shared" si="51"/>
        <v>0</v>
      </c>
      <c r="AA74" s="9">
        <f t="shared" si="51"/>
        <v>0</v>
      </c>
      <c r="AB74" s="9">
        <f t="shared" si="51"/>
        <v>0</v>
      </c>
      <c r="AC74" s="9">
        <f t="shared" si="51"/>
        <v>0</v>
      </c>
      <c r="AD74" s="9">
        <f t="shared" si="51"/>
        <v>0</v>
      </c>
      <c r="AE74" s="9">
        <f t="shared" si="51"/>
        <v>0</v>
      </c>
      <c r="AF74" s="9">
        <f t="shared" si="51"/>
        <v>0</v>
      </c>
      <c r="AG74" s="9">
        <f t="shared" si="51"/>
        <v>0</v>
      </c>
      <c r="AH74" s="9">
        <f t="shared" si="51"/>
        <v>0</v>
      </c>
      <c r="AI74" s="9">
        <f t="shared" si="51"/>
        <v>0</v>
      </c>
      <c r="AJ74" s="9">
        <f t="shared" si="51"/>
        <v>0</v>
      </c>
      <c r="AK74" s="9">
        <f t="shared" si="51"/>
        <v>0</v>
      </c>
      <c r="AL74" s="9">
        <f t="shared" si="51"/>
        <v>0</v>
      </c>
      <c r="AM74" s="9">
        <f t="shared" si="51"/>
        <v>0</v>
      </c>
      <c r="AN74" s="9">
        <f t="shared" si="51"/>
        <v>0</v>
      </c>
      <c r="AO74" s="9">
        <f t="shared" si="51"/>
        <v>0</v>
      </c>
      <c r="AP74" s="9">
        <f t="shared" si="51"/>
        <v>0</v>
      </c>
      <c r="AQ74" s="9">
        <f t="shared" si="51"/>
        <v>0</v>
      </c>
      <c r="AR74" s="9">
        <f t="shared" si="51"/>
        <v>0</v>
      </c>
      <c r="AS74" s="9">
        <f t="shared" si="51"/>
        <v>0</v>
      </c>
      <c r="AT74" s="9">
        <f t="shared" si="51"/>
        <v>0</v>
      </c>
      <c r="AU74" s="9">
        <f t="shared" si="51"/>
        <v>0</v>
      </c>
      <c r="AV74" s="9">
        <f t="shared" si="51"/>
        <v>0</v>
      </c>
      <c r="AW74" s="9">
        <f t="shared" si="51"/>
        <v>0</v>
      </c>
      <c r="AX74" s="9">
        <f t="shared" si="51"/>
        <v>0</v>
      </c>
      <c r="AY74" s="9">
        <f t="shared" si="51"/>
        <v>0</v>
      </c>
      <c r="AZ74" s="9">
        <f t="shared" si="51"/>
        <v>0</v>
      </c>
      <c r="BA74" s="9">
        <f t="shared" si="51"/>
        <v>16201</v>
      </c>
      <c r="BB74" s="9">
        <f>BB75+BB76+BB77</f>
        <v>16201</v>
      </c>
      <c r="BC74" s="9">
        <f t="shared" si="51"/>
        <v>0</v>
      </c>
      <c r="BD74" s="9">
        <f t="shared" si="51"/>
        <v>0</v>
      </c>
      <c r="BE74" s="8"/>
      <c r="BF74" s="89"/>
    </row>
    <row r="75" spans="1:60" s="115" customFormat="1" ht="48.75" customHeight="1">
      <c r="A75" s="72">
        <v>1</v>
      </c>
      <c r="B75" s="158" t="s">
        <v>139</v>
      </c>
      <c r="C75" s="105" t="s">
        <v>140</v>
      </c>
      <c r="D75" s="133"/>
      <c r="E75" s="105" t="s">
        <v>115</v>
      </c>
      <c r="F75" s="133"/>
      <c r="G75" s="157"/>
      <c r="H75" s="99" t="s">
        <v>121</v>
      </c>
      <c r="I75" s="145" t="s">
        <v>141</v>
      </c>
      <c r="J75" s="16">
        <f>+K75</f>
        <v>4000</v>
      </c>
      <c r="K75" s="16">
        <v>4000</v>
      </c>
      <c r="L75" s="9"/>
      <c r="M75" s="9"/>
      <c r="N75" s="9"/>
      <c r="O75" s="9"/>
      <c r="P75" s="9"/>
      <c r="Q75" s="9"/>
      <c r="R75" s="16">
        <f>+S75</f>
        <v>4000</v>
      </c>
      <c r="S75" s="16">
        <v>4000</v>
      </c>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16">
        <f>+BB75</f>
        <v>4000</v>
      </c>
      <c r="BB75" s="16">
        <v>4000</v>
      </c>
      <c r="BC75" s="9"/>
      <c r="BD75" s="9"/>
      <c r="BE75" s="15" t="s">
        <v>142</v>
      </c>
    </row>
    <row r="76" spans="1:60" s="64" customFormat="1" ht="48.75" customHeight="1">
      <c r="A76" s="147">
        <v>2</v>
      </c>
      <c r="B76" s="148" t="s">
        <v>143</v>
      </c>
      <c r="C76" s="105" t="s">
        <v>140</v>
      </c>
      <c r="D76" s="137"/>
      <c r="E76" s="105" t="s">
        <v>144</v>
      </c>
      <c r="F76" s="137"/>
      <c r="G76" s="149"/>
      <c r="H76" s="99" t="s">
        <v>145</v>
      </c>
      <c r="I76" s="145" t="s">
        <v>146</v>
      </c>
      <c r="J76" s="154">
        <f>+K76</f>
        <v>14500</v>
      </c>
      <c r="K76" s="154">
        <v>14500</v>
      </c>
      <c r="L76" s="12"/>
      <c r="M76" s="12"/>
      <c r="N76" s="12"/>
      <c r="O76" s="12"/>
      <c r="P76" s="12"/>
      <c r="Q76" s="12"/>
      <c r="R76" s="12">
        <f>+S76</f>
        <v>5313</v>
      </c>
      <c r="S76" s="12">
        <v>5313</v>
      </c>
      <c r="T76" s="3"/>
      <c r="U76" s="3"/>
      <c r="V76" s="3"/>
      <c r="W76" s="3"/>
      <c r="X76" s="3"/>
      <c r="Y76" s="3"/>
      <c r="Z76" s="3"/>
      <c r="AA76" s="3"/>
      <c r="AB76" s="3"/>
      <c r="AC76" s="3"/>
      <c r="AD76" s="3"/>
      <c r="AE76" s="3"/>
      <c r="AF76" s="3"/>
      <c r="AG76" s="3"/>
      <c r="AH76" s="3"/>
      <c r="AI76" s="3"/>
      <c r="AJ76" s="3"/>
      <c r="AK76" s="3"/>
      <c r="AL76" s="3"/>
      <c r="AM76" s="16"/>
      <c r="AN76" s="16"/>
      <c r="AO76" s="3"/>
      <c r="AP76" s="3"/>
      <c r="AQ76" s="12"/>
      <c r="AR76" s="12"/>
      <c r="AS76" s="12"/>
      <c r="AT76" s="12"/>
      <c r="AU76" s="12"/>
      <c r="AV76" s="12"/>
      <c r="AW76" s="12"/>
      <c r="AX76" s="3"/>
      <c r="AY76" s="3"/>
      <c r="AZ76" s="3"/>
      <c r="BA76" s="3">
        <f>+BB76</f>
        <v>5313</v>
      </c>
      <c r="BB76" s="3">
        <v>5313</v>
      </c>
      <c r="BC76" s="3"/>
      <c r="BD76" s="3"/>
      <c r="BE76" s="15" t="s">
        <v>142</v>
      </c>
      <c r="BF76" s="111"/>
    </row>
    <row r="77" spans="1:60" s="64" customFormat="1" ht="52.5" customHeight="1">
      <c r="A77" s="147">
        <v>3</v>
      </c>
      <c r="B77" s="148" t="s">
        <v>147</v>
      </c>
      <c r="C77" s="105" t="s">
        <v>140</v>
      </c>
      <c r="D77" s="137"/>
      <c r="E77" s="105" t="s">
        <v>115</v>
      </c>
      <c r="F77" s="137"/>
      <c r="G77" s="149"/>
      <c r="H77" s="99" t="s">
        <v>145</v>
      </c>
      <c r="I77" s="24" t="s">
        <v>148</v>
      </c>
      <c r="J77" s="154">
        <f>+K77</f>
        <v>14900</v>
      </c>
      <c r="K77" s="154">
        <v>14900</v>
      </c>
      <c r="L77" s="12"/>
      <c r="M77" s="12"/>
      <c r="N77" s="12"/>
      <c r="O77" s="12"/>
      <c r="P77" s="12"/>
      <c r="Q77" s="12"/>
      <c r="R77" s="12">
        <f>+S77</f>
        <v>6888</v>
      </c>
      <c r="S77" s="12">
        <v>6888</v>
      </c>
      <c r="T77" s="3"/>
      <c r="U77" s="3"/>
      <c r="V77" s="3"/>
      <c r="W77" s="3"/>
      <c r="X77" s="3"/>
      <c r="Y77" s="3"/>
      <c r="Z77" s="3"/>
      <c r="AA77" s="3"/>
      <c r="AB77" s="3"/>
      <c r="AC77" s="3"/>
      <c r="AD77" s="3"/>
      <c r="AE77" s="3"/>
      <c r="AF77" s="3"/>
      <c r="AG77" s="3"/>
      <c r="AH77" s="3"/>
      <c r="AI77" s="3"/>
      <c r="AJ77" s="3"/>
      <c r="AK77" s="3"/>
      <c r="AL77" s="3"/>
      <c r="AM77" s="16"/>
      <c r="AN77" s="16"/>
      <c r="AO77" s="3"/>
      <c r="AP77" s="3"/>
      <c r="AQ77" s="12"/>
      <c r="AR77" s="12"/>
      <c r="AS77" s="12"/>
      <c r="AT77" s="12"/>
      <c r="AU77" s="12"/>
      <c r="AV77" s="12"/>
      <c r="AW77" s="12"/>
      <c r="AX77" s="3"/>
      <c r="AY77" s="3"/>
      <c r="AZ77" s="3"/>
      <c r="BA77" s="3">
        <f>+BB77</f>
        <v>6888</v>
      </c>
      <c r="BB77" s="3">
        <v>6888</v>
      </c>
      <c r="BC77" s="3"/>
      <c r="BD77" s="3"/>
      <c r="BE77" s="15" t="s">
        <v>142</v>
      </c>
      <c r="BF77" s="111"/>
    </row>
    <row r="78" spans="1:60" s="89" customFormat="1" ht="30.2" customHeight="1">
      <c r="A78" s="85"/>
      <c r="B78" s="86" t="s">
        <v>90</v>
      </c>
      <c r="C78" s="87"/>
      <c r="D78" s="87"/>
      <c r="E78" s="87"/>
      <c r="F78" s="87"/>
      <c r="G78" s="87"/>
      <c r="H78" s="87"/>
      <c r="I78" s="8"/>
      <c r="J78" s="4"/>
      <c r="K78" s="4"/>
      <c r="L78" s="4"/>
      <c r="M78" s="4"/>
      <c r="N78" s="4"/>
      <c r="O78" s="4"/>
      <c r="P78" s="3"/>
      <c r="Q78" s="3"/>
      <c r="R78" s="4"/>
      <c r="S78" s="4"/>
      <c r="T78" s="4"/>
      <c r="U78" s="4"/>
      <c r="V78" s="4"/>
      <c r="W78" s="4"/>
      <c r="X78" s="4"/>
      <c r="Y78" s="4"/>
      <c r="Z78" s="4"/>
      <c r="AA78" s="4"/>
      <c r="AB78" s="4">
        <v>46928</v>
      </c>
      <c r="AC78" s="4"/>
      <c r="AD78" s="4"/>
      <c r="AE78" s="4"/>
      <c r="AF78" s="4"/>
      <c r="AG78" s="4"/>
      <c r="AH78" s="4"/>
      <c r="AI78" s="4"/>
      <c r="AJ78" s="4"/>
      <c r="AK78" s="4"/>
      <c r="AL78" s="4"/>
      <c r="AM78" s="4"/>
      <c r="AN78" s="4">
        <v>49200.521336535887</v>
      </c>
      <c r="AO78" s="4"/>
      <c r="AP78" s="4"/>
      <c r="AQ78" s="22"/>
      <c r="AR78" s="22"/>
      <c r="AS78" s="22"/>
      <c r="AT78" s="22"/>
      <c r="AU78" s="22"/>
      <c r="AV78" s="22"/>
      <c r="AW78" s="22"/>
      <c r="AX78" s="4"/>
      <c r="AY78" s="4"/>
      <c r="AZ78" s="4"/>
      <c r="BA78" s="4"/>
      <c r="BB78" s="4"/>
      <c r="BC78" s="4"/>
      <c r="BD78" s="4"/>
      <c r="BE78" s="88"/>
    </row>
    <row r="79" spans="1:60" s="115" customFormat="1" ht="36.75" customHeight="1">
      <c r="A79" s="126" t="s">
        <v>74</v>
      </c>
      <c r="B79" s="127" t="s">
        <v>149</v>
      </c>
      <c r="C79" s="87"/>
      <c r="D79" s="87"/>
      <c r="E79" s="87"/>
      <c r="F79" s="87"/>
      <c r="G79" s="92"/>
      <c r="H79" s="87"/>
      <c r="I79" s="8"/>
      <c r="J79" s="4">
        <f t="shared" ref="J79:BD79" si="52">J80+J84+J90+J94</f>
        <v>230100</v>
      </c>
      <c r="K79" s="4">
        <f t="shared" si="52"/>
        <v>127200</v>
      </c>
      <c r="L79" s="4">
        <f t="shared" si="52"/>
        <v>12320</v>
      </c>
      <c r="M79" s="4">
        <f t="shared" si="52"/>
        <v>0</v>
      </c>
      <c r="N79" s="4">
        <f t="shared" si="52"/>
        <v>12320</v>
      </c>
      <c r="O79" s="4">
        <f t="shared" si="52"/>
        <v>0</v>
      </c>
      <c r="P79" s="4">
        <f t="shared" si="52"/>
        <v>45854</v>
      </c>
      <c r="Q79" s="4">
        <f t="shared" si="52"/>
        <v>104</v>
      </c>
      <c r="R79" s="4">
        <f t="shared" si="52"/>
        <v>177318</v>
      </c>
      <c r="S79" s="4">
        <f t="shared" si="52"/>
        <v>97028</v>
      </c>
      <c r="T79" s="4">
        <f t="shared" si="52"/>
        <v>0</v>
      </c>
      <c r="U79" s="4">
        <f t="shared" si="52"/>
        <v>0</v>
      </c>
      <c r="V79" s="4">
        <f t="shared" si="52"/>
        <v>70750</v>
      </c>
      <c r="W79" s="4">
        <f t="shared" si="52"/>
        <v>33534</v>
      </c>
      <c r="X79" s="4">
        <f t="shared" si="52"/>
        <v>104</v>
      </c>
      <c r="Y79" s="4">
        <f t="shared" si="52"/>
        <v>0</v>
      </c>
      <c r="Z79" s="4">
        <f t="shared" si="52"/>
        <v>0</v>
      </c>
      <c r="AA79" s="4">
        <f t="shared" si="52"/>
        <v>27120</v>
      </c>
      <c r="AB79" s="4">
        <f t="shared" si="52"/>
        <v>5120</v>
      </c>
      <c r="AC79" s="4">
        <f t="shared" si="52"/>
        <v>0</v>
      </c>
      <c r="AD79" s="4">
        <f t="shared" si="52"/>
        <v>0</v>
      </c>
      <c r="AE79" s="4">
        <f t="shared" si="52"/>
        <v>60654</v>
      </c>
      <c r="AF79" s="4">
        <f t="shared" si="52"/>
        <v>5224</v>
      </c>
      <c r="AG79" s="4">
        <f t="shared" si="52"/>
        <v>0</v>
      </c>
      <c r="AH79" s="4">
        <f t="shared" si="52"/>
        <v>0</v>
      </c>
      <c r="AI79" s="4">
        <f t="shared" si="52"/>
        <v>18017</v>
      </c>
      <c r="AJ79" s="4">
        <f t="shared" si="52"/>
        <v>18017</v>
      </c>
      <c r="AK79" s="4">
        <f t="shared" si="52"/>
        <v>0</v>
      </c>
      <c r="AL79" s="4">
        <f t="shared" si="52"/>
        <v>0</v>
      </c>
      <c r="AM79" s="4">
        <f t="shared" si="52"/>
        <v>17517</v>
      </c>
      <c r="AN79" s="4">
        <f t="shared" si="52"/>
        <v>17517</v>
      </c>
      <c r="AO79" s="4">
        <f t="shared" si="52"/>
        <v>0</v>
      </c>
      <c r="AP79" s="4">
        <f t="shared" si="52"/>
        <v>0</v>
      </c>
      <c r="AQ79" s="4">
        <f t="shared" si="52"/>
        <v>90147</v>
      </c>
      <c r="AR79" s="4">
        <f t="shared" si="52"/>
        <v>24621</v>
      </c>
      <c r="AS79" s="4">
        <f t="shared" si="52"/>
        <v>22821</v>
      </c>
      <c r="AT79" s="4">
        <f t="shared" si="52"/>
        <v>25104</v>
      </c>
      <c r="AU79" s="4">
        <f t="shared" si="52"/>
        <v>25104</v>
      </c>
      <c r="AV79" s="4">
        <f t="shared" si="52"/>
        <v>0</v>
      </c>
      <c r="AW79" s="4">
        <f t="shared" si="52"/>
        <v>0</v>
      </c>
      <c r="AX79" s="4">
        <f t="shared" si="52"/>
        <v>120101</v>
      </c>
      <c r="AY79" s="4">
        <f t="shared" si="52"/>
        <v>52575</v>
      </c>
      <c r="AZ79" s="4">
        <f t="shared" si="52"/>
        <v>52575</v>
      </c>
      <c r="BA79" s="4">
        <f t="shared" si="52"/>
        <v>42237</v>
      </c>
      <c r="BB79" s="4">
        <f t="shared" si="52"/>
        <v>42237</v>
      </c>
      <c r="BC79" s="4">
        <f t="shared" si="52"/>
        <v>0</v>
      </c>
      <c r="BD79" s="4">
        <f t="shared" si="52"/>
        <v>0</v>
      </c>
      <c r="BE79" s="134"/>
      <c r="BF79" s="89"/>
    </row>
    <row r="80" spans="1:60" s="115" customFormat="1" ht="30.95" customHeight="1">
      <c r="A80" s="129" t="s">
        <v>92</v>
      </c>
      <c r="B80" s="130" t="s">
        <v>93</v>
      </c>
      <c r="C80" s="87"/>
      <c r="D80" s="87"/>
      <c r="E80" s="87"/>
      <c r="F80" s="87"/>
      <c r="G80" s="87"/>
      <c r="H80" s="87"/>
      <c r="I80" s="8"/>
      <c r="J80" s="9">
        <f>J81</f>
        <v>14100</v>
      </c>
      <c r="K80" s="9">
        <f t="shared" ref="K80:BD80" si="53">K81</f>
        <v>14100</v>
      </c>
      <c r="L80" s="9">
        <f t="shared" si="53"/>
        <v>0</v>
      </c>
      <c r="M80" s="9">
        <f t="shared" si="53"/>
        <v>0</v>
      </c>
      <c r="N80" s="9">
        <f t="shared" si="53"/>
        <v>0</v>
      </c>
      <c r="O80" s="9">
        <f t="shared" si="53"/>
        <v>0</v>
      </c>
      <c r="P80" s="9">
        <f t="shared" si="53"/>
        <v>104</v>
      </c>
      <c r="Q80" s="9">
        <f t="shared" si="53"/>
        <v>104</v>
      </c>
      <c r="R80" s="9">
        <f t="shared" si="53"/>
        <v>14100</v>
      </c>
      <c r="S80" s="9">
        <f t="shared" si="53"/>
        <v>14100</v>
      </c>
      <c r="T80" s="9">
        <f t="shared" si="53"/>
        <v>0</v>
      </c>
      <c r="U80" s="9">
        <f t="shared" si="53"/>
        <v>0</v>
      </c>
      <c r="V80" s="9">
        <f t="shared" si="53"/>
        <v>0</v>
      </c>
      <c r="W80" s="9">
        <f t="shared" si="53"/>
        <v>104</v>
      </c>
      <c r="X80" s="9">
        <f t="shared" si="53"/>
        <v>104</v>
      </c>
      <c r="Y80" s="9">
        <f t="shared" si="53"/>
        <v>0</v>
      </c>
      <c r="Z80" s="9">
        <f t="shared" si="53"/>
        <v>0</v>
      </c>
      <c r="AA80" s="9">
        <f t="shared" si="53"/>
        <v>120</v>
      </c>
      <c r="AB80" s="9">
        <f t="shared" si="53"/>
        <v>120</v>
      </c>
      <c r="AC80" s="9">
        <f t="shared" si="53"/>
        <v>0</v>
      </c>
      <c r="AD80" s="9">
        <f t="shared" si="53"/>
        <v>0</v>
      </c>
      <c r="AE80" s="9">
        <f t="shared" si="53"/>
        <v>224</v>
      </c>
      <c r="AF80" s="9">
        <f t="shared" si="53"/>
        <v>224</v>
      </c>
      <c r="AG80" s="9"/>
      <c r="AH80" s="9"/>
      <c r="AI80" s="9">
        <f t="shared" si="53"/>
        <v>5500</v>
      </c>
      <c r="AJ80" s="9">
        <f t="shared" si="53"/>
        <v>5500</v>
      </c>
      <c r="AK80" s="9">
        <f t="shared" si="53"/>
        <v>0</v>
      </c>
      <c r="AL80" s="9">
        <f t="shared" si="53"/>
        <v>0</v>
      </c>
      <c r="AM80" s="9">
        <f t="shared" si="53"/>
        <v>5000</v>
      </c>
      <c r="AN80" s="9">
        <f t="shared" si="53"/>
        <v>5000</v>
      </c>
      <c r="AO80" s="9">
        <f t="shared" si="53"/>
        <v>0</v>
      </c>
      <c r="AP80" s="9">
        <f t="shared" si="53"/>
        <v>0</v>
      </c>
      <c r="AQ80" s="28">
        <f t="shared" si="53"/>
        <v>5000</v>
      </c>
      <c r="AR80" s="28">
        <f t="shared" si="53"/>
        <v>5224</v>
      </c>
      <c r="AS80" s="28">
        <f t="shared" si="53"/>
        <v>5224</v>
      </c>
      <c r="AT80" s="28">
        <f t="shared" si="53"/>
        <v>6000</v>
      </c>
      <c r="AU80" s="28">
        <f t="shared" si="53"/>
        <v>6000</v>
      </c>
      <c r="AV80" s="28">
        <f t="shared" si="53"/>
        <v>0</v>
      </c>
      <c r="AW80" s="28">
        <f t="shared" si="53"/>
        <v>0</v>
      </c>
      <c r="AX80" s="9">
        <f t="shared" si="53"/>
        <v>11000</v>
      </c>
      <c r="AY80" s="9">
        <f t="shared" si="53"/>
        <v>11224</v>
      </c>
      <c r="AZ80" s="9">
        <f t="shared" si="53"/>
        <v>11224</v>
      </c>
      <c r="BA80" s="9">
        <f t="shared" si="53"/>
        <v>2876</v>
      </c>
      <c r="BB80" s="9">
        <f t="shared" si="53"/>
        <v>2876</v>
      </c>
      <c r="BC80" s="28">
        <f t="shared" si="53"/>
        <v>0</v>
      </c>
      <c r="BD80" s="28">
        <f t="shared" si="53"/>
        <v>0</v>
      </c>
      <c r="BE80" s="134"/>
      <c r="BF80" s="89"/>
    </row>
    <row r="81" spans="1:58" s="125" customFormat="1" ht="30.95" customHeight="1">
      <c r="A81" s="142" t="s">
        <v>150</v>
      </c>
      <c r="B81" s="93" t="s">
        <v>95</v>
      </c>
      <c r="C81" s="121"/>
      <c r="D81" s="121"/>
      <c r="E81" s="121"/>
      <c r="F81" s="121"/>
      <c r="G81" s="121"/>
      <c r="H81" s="121"/>
      <c r="I81" s="17"/>
      <c r="J81" s="25">
        <f>SUM(J82:J83)</f>
        <v>14100</v>
      </c>
      <c r="K81" s="25">
        <f t="shared" ref="K81:BD81" si="54">SUM(K82:K83)</f>
        <v>14100</v>
      </c>
      <c r="L81" s="25">
        <f t="shared" si="54"/>
        <v>0</v>
      </c>
      <c r="M81" s="25">
        <f t="shared" si="54"/>
        <v>0</v>
      </c>
      <c r="N81" s="25">
        <f t="shared" si="54"/>
        <v>0</v>
      </c>
      <c r="O81" s="25">
        <f t="shared" si="54"/>
        <v>0</v>
      </c>
      <c r="P81" s="25">
        <f t="shared" si="54"/>
        <v>104</v>
      </c>
      <c r="Q81" s="25">
        <f t="shared" si="54"/>
        <v>104</v>
      </c>
      <c r="R81" s="25">
        <f t="shared" si="54"/>
        <v>14100</v>
      </c>
      <c r="S81" s="25">
        <f t="shared" si="54"/>
        <v>14100</v>
      </c>
      <c r="T81" s="25">
        <f t="shared" si="54"/>
        <v>0</v>
      </c>
      <c r="U81" s="25">
        <f t="shared" si="54"/>
        <v>0</v>
      </c>
      <c r="V81" s="25">
        <f t="shared" si="54"/>
        <v>0</v>
      </c>
      <c r="W81" s="25">
        <f t="shared" si="54"/>
        <v>104</v>
      </c>
      <c r="X81" s="25">
        <f t="shared" si="54"/>
        <v>104</v>
      </c>
      <c r="Y81" s="25">
        <f t="shared" si="54"/>
        <v>0</v>
      </c>
      <c r="Z81" s="25">
        <f t="shared" si="54"/>
        <v>0</v>
      </c>
      <c r="AA81" s="25">
        <f t="shared" si="54"/>
        <v>120</v>
      </c>
      <c r="AB81" s="25">
        <f t="shared" si="54"/>
        <v>120</v>
      </c>
      <c r="AC81" s="25">
        <f t="shared" si="54"/>
        <v>0</v>
      </c>
      <c r="AD81" s="25">
        <f t="shared" si="54"/>
        <v>0</v>
      </c>
      <c r="AE81" s="25">
        <f t="shared" si="54"/>
        <v>224</v>
      </c>
      <c r="AF81" s="25">
        <f t="shared" si="54"/>
        <v>224</v>
      </c>
      <c r="AG81" s="25">
        <f t="shared" si="54"/>
        <v>0</v>
      </c>
      <c r="AH81" s="25">
        <f t="shared" si="54"/>
        <v>0</v>
      </c>
      <c r="AI81" s="25">
        <f t="shared" si="54"/>
        <v>5500</v>
      </c>
      <c r="AJ81" s="25">
        <f t="shared" si="54"/>
        <v>5500</v>
      </c>
      <c r="AK81" s="25">
        <f t="shared" si="54"/>
        <v>0</v>
      </c>
      <c r="AL81" s="25">
        <f t="shared" si="54"/>
        <v>0</v>
      </c>
      <c r="AM81" s="25">
        <f t="shared" si="54"/>
        <v>5000</v>
      </c>
      <c r="AN81" s="25">
        <f t="shared" si="54"/>
        <v>5000</v>
      </c>
      <c r="AO81" s="25">
        <f t="shared" si="54"/>
        <v>0</v>
      </c>
      <c r="AP81" s="25">
        <f t="shared" si="54"/>
        <v>0</v>
      </c>
      <c r="AQ81" s="44">
        <f t="shared" si="54"/>
        <v>5000</v>
      </c>
      <c r="AR81" s="44">
        <f t="shared" si="54"/>
        <v>5224</v>
      </c>
      <c r="AS81" s="44">
        <f t="shared" si="54"/>
        <v>5224</v>
      </c>
      <c r="AT81" s="44">
        <f t="shared" si="54"/>
        <v>6000</v>
      </c>
      <c r="AU81" s="44">
        <f t="shared" si="54"/>
        <v>6000</v>
      </c>
      <c r="AV81" s="44">
        <f t="shared" si="54"/>
        <v>0</v>
      </c>
      <c r="AW81" s="44">
        <f t="shared" si="54"/>
        <v>0</v>
      </c>
      <c r="AX81" s="25">
        <f t="shared" si="54"/>
        <v>11000</v>
      </c>
      <c r="AY81" s="25">
        <f t="shared" si="54"/>
        <v>11224</v>
      </c>
      <c r="AZ81" s="25">
        <f t="shared" si="54"/>
        <v>11224</v>
      </c>
      <c r="BA81" s="25">
        <f t="shared" si="54"/>
        <v>2876</v>
      </c>
      <c r="BB81" s="25">
        <f>SUM(BB82:BB83)</f>
        <v>2876</v>
      </c>
      <c r="BC81" s="44">
        <f t="shared" si="54"/>
        <v>0</v>
      </c>
      <c r="BD81" s="44">
        <f t="shared" si="54"/>
        <v>0</v>
      </c>
      <c r="BE81" s="159"/>
    </row>
    <row r="82" spans="1:58" s="64" customFormat="1" ht="43.5" customHeight="1">
      <c r="A82" s="72">
        <v>1</v>
      </c>
      <c r="B82" s="136" t="s">
        <v>151</v>
      </c>
      <c r="C82" s="99" t="s">
        <v>152</v>
      </c>
      <c r="D82" s="99"/>
      <c r="E82" s="99" t="s">
        <v>153</v>
      </c>
      <c r="F82" s="99"/>
      <c r="G82" s="155" t="s">
        <v>154</v>
      </c>
      <c r="H82" s="105" t="s">
        <v>100</v>
      </c>
      <c r="I82" s="150" t="s">
        <v>155</v>
      </c>
      <c r="J82" s="151">
        <f>K82</f>
        <v>7300</v>
      </c>
      <c r="K82" s="151">
        <v>7300</v>
      </c>
      <c r="L82" s="3"/>
      <c r="M82" s="3"/>
      <c r="N82" s="3"/>
      <c r="O82" s="3"/>
      <c r="P82" s="3">
        <f t="shared" ref="P82:Q83" si="55">L82+W82</f>
        <v>104</v>
      </c>
      <c r="Q82" s="3">
        <f t="shared" si="55"/>
        <v>104</v>
      </c>
      <c r="R82" s="3">
        <f>S82</f>
        <v>7300</v>
      </c>
      <c r="S82" s="3">
        <v>7300</v>
      </c>
      <c r="T82" s="3"/>
      <c r="U82" s="3"/>
      <c r="V82" s="3"/>
      <c r="W82" s="3">
        <v>104</v>
      </c>
      <c r="X82" s="3">
        <v>104</v>
      </c>
      <c r="Y82" s="3"/>
      <c r="Z82" s="3"/>
      <c r="AA82" s="3"/>
      <c r="AB82" s="3"/>
      <c r="AC82" s="3"/>
      <c r="AD82" s="3"/>
      <c r="AE82" s="3">
        <f>W82+AA82</f>
        <v>104</v>
      </c>
      <c r="AF82" s="3">
        <f>X82+AB82</f>
        <v>104</v>
      </c>
      <c r="AG82" s="3"/>
      <c r="AH82" s="3"/>
      <c r="AI82" s="3">
        <f t="shared" ref="AI82:AL83" si="56">AM82</f>
        <v>2000</v>
      </c>
      <c r="AJ82" s="3">
        <f t="shared" si="56"/>
        <v>2000</v>
      </c>
      <c r="AK82" s="3">
        <f t="shared" si="56"/>
        <v>0</v>
      </c>
      <c r="AL82" s="3">
        <f t="shared" si="56"/>
        <v>0</v>
      </c>
      <c r="AM82" s="3">
        <f>AN82</f>
        <v>2000</v>
      </c>
      <c r="AN82" s="3">
        <v>2000</v>
      </c>
      <c r="AO82" s="3"/>
      <c r="AP82" s="3"/>
      <c r="AQ82" s="12">
        <f>V82+AN82</f>
        <v>2000</v>
      </c>
      <c r="AR82" s="12">
        <f t="shared" ref="AR82:AR83" si="57">AS82</f>
        <v>2104</v>
      </c>
      <c r="AS82" s="12">
        <f t="shared" ref="AS82:AS83" si="58">AF82+AN82</f>
        <v>2104</v>
      </c>
      <c r="AT82" s="12">
        <f t="shared" ref="AT82:AT83" si="59">AU82</f>
        <v>3500</v>
      </c>
      <c r="AU82" s="12">
        <v>3500</v>
      </c>
      <c r="AV82" s="12"/>
      <c r="AW82" s="12"/>
      <c r="AX82" s="3">
        <f>AQ82+AU82</f>
        <v>5500</v>
      </c>
      <c r="AY82" s="3">
        <f>AZ82</f>
        <v>5604</v>
      </c>
      <c r="AZ82" s="3">
        <f>AS82+AU82</f>
        <v>5604</v>
      </c>
      <c r="BA82" s="3">
        <f>BB82</f>
        <v>1696</v>
      </c>
      <c r="BB82" s="3">
        <f>S82-AZ82</f>
        <v>1696</v>
      </c>
      <c r="BC82" s="3"/>
      <c r="BD82" s="3"/>
      <c r="BE82" s="160" t="s">
        <v>156</v>
      </c>
      <c r="BF82" s="111">
        <f>AU82</f>
        <v>3500</v>
      </c>
    </row>
    <row r="83" spans="1:58" s="146" customFormat="1" ht="44.45" customHeight="1">
      <c r="A83" s="72">
        <v>2</v>
      </c>
      <c r="B83" s="136" t="s">
        <v>157</v>
      </c>
      <c r="C83" s="99" t="s">
        <v>152</v>
      </c>
      <c r="D83" s="99"/>
      <c r="E83" s="99" t="s">
        <v>158</v>
      </c>
      <c r="F83" s="99"/>
      <c r="G83" s="99"/>
      <c r="H83" s="105" t="s">
        <v>100</v>
      </c>
      <c r="I83" s="150" t="s">
        <v>159</v>
      </c>
      <c r="J83" s="151">
        <v>6800</v>
      </c>
      <c r="K83" s="151">
        <v>6800</v>
      </c>
      <c r="L83" s="3"/>
      <c r="M83" s="3"/>
      <c r="N83" s="3"/>
      <c r="O83" s="3"/>
      <c r="P83" s="3">
        <f t="shared" si="55"/>
        <v>0</v>
      </c>
      <c r="Q83" s="3">
        <f t="shared" si="55"/>
        <v>0</v>
      </c>
      <c r="R83" s="3">
        <v>6800</v>
      </c>
      <c r="S83" s="3">
        <v>6800</v>
      </c>
      <c r="T83" s="3" t="s">
        <v>54</v>
      </c>
      <c r="U83" s="3">
        <v>0</v>
      </c>
      <c r="V83" s="3"/>
      <c r="W83" s="3"/>
      <c r="X83" s="3"/>
      <c r="Y83" s="3"/>
      <c r="Z83" s="3"/>
      <c r="AA83" s="3">
        <v>120</v>
      </c>
      <c r="AB83" s="3">
        <v>120</v>
      </c>
      <c r="AC83" s="3"/>
      <c r="AD83" s="3"/>
      <c r="AE83" s="3">
        <f>W83+AA83</f>
        <v>120</v>
      </c>
      <c r="AF83" s="3">
        <f>X83+AB83</f>
        <v>120</v>
      </c>
      <c r="AG83" s="3"/>
      <c r="AH83" s="3"/>
      <c r="AI83" s="3">
        <f>AJ83</f>
        <v>3500</v>
      </c>
      <c r="AJ83" s="3">
        <v>3500</v>
      </c>
      <c r="AK83" s="3">
        <f t="shared" si="56"/>
        <v>0</v>
      </c>
      <c r="AL83" s="3"/>
      <c r="AM83" s="3">
        <v>3000</v>
      </c>
      <c r="AN83" s="3">
        <v>3000</v>
      </c>
      <c r="AO83" s="3"/>
      <c r="AP83" s="3"/>
      <c r="AQ83" s="12">
        <f>V83+AN83</f>
        <v>3000</v>
      </c>
      <c r="AR83" s="12">
        <f t="shared" si="57"/>
        <v>3120</v>
      </c>
      <c r="AS83" s="12">
        <f t="shared" si="58"/>
        <v>3120</v>
      </c>
      <c r="AT83" s="12">
        <f t="shared" si="59"/>
        <v>2500</v>
      </c>
      <c r="AU83" s="12">
        <v>2500</v>
      </c>
      <c r="AV83" s="12"/>
      <c r="AW83" s="12"/>
      <c r="AX83" s="3">
        <f>AQ83+AU83</f>
        <v>5500</v>
      </c>
      <c r="AY83" s="3">
        <f>AZ83</f>
        <v>5620</v>
      </c>
      <c r="AZ83" s="3">
        <f>AS83+AU83</f>
        <v>5620</v>
      </c>
      <c r="BA83" s="3">
        <f>BB83</f>
        <v>1180</v>
      </c>
      <c r="BB83" s="3">
        <f>S83-AZ83</f>
        <v>1180</v>
      </c>
      <c r="BC83" s="3"/>
      <c r="BD83" s="3"/>
      <c r="BE83" s="160" t="s">
        <v>156</v>
      </c>
      <c r="BF83" s="57"/>
    </row>
    <row r="84" spans="1:58" s="125" customFormat="1" ht="38.25" customHeight="1">
      <c r="A84" s="85" t="s">
        <v>103</v>
      </c>
      <c r="B84" s="91" t="s">
        <v>160</v>
      </c>
      <c r="C84" s="121"/>
      <c r="D84" s="121"/>
      <c r="E84" s="121"/>
      <c r="F84" s="121"/>
      <c r="G84" s="121"/>
      <c r="H84" s="121"/>
      <c r="I84" s="17"/>
      <c r="J84" s="18">
        <f>J85+J87</f>
        <v>161000</v>
      </c>
      <c r="K84" s="18">
        <f t="shared" ref="K84:BD84" si="60">K85+K87</f>
        <v>58100</v>
      </c>
      <c r="L84" s="18">
        <f t="shared" si="60"/>
        <v>12320</v>
      </c>
      <c r="M84" s="18">
        <f t="shared" si="60"/>
        <v>0</v>
      </c>
      <c r="N84" s="18">
        <f t="shared" si="60"/>
        <v>12320</v>
      </c>
      <c r="O84" s="18">
        <f t="shared" si="60"/>
        <v>0</v>
      </c>
      <c r="P84" s="18">
        <f t="shared" si="60"/>
        <v>45750</v>
      </c>
      <c r="Q84" s="18">
        <f t="shared" si="60"/>
        <v>0</v>
      </c>
      <c r="R84" s="18">
        <f t="shared" si="60"/>
        <v>132580</v>
      </c>
      <c r="S84" s="18">
        <f t="shared" si="60"/>
        <v>52290</v>
      </c>
      <c r="T84" s="18">
        <f t="shared" si="60"/>
        <v>0</v>
      </c>
      <c r="U84" s="18">
        <f t="shared" si="60"/>
        <v>0</v>
      </c>
      <c r="V84" s="18">
        <f t="shared" si="60"/>
        <v>70750</v>
      </c>
      <c r="W84" s="18">
        <f t="shared" si="60"/>
        <v>33430</v>
      </c>
      <c r="X84" s="18">
        <f t="shared" si="60"/>
        <v>0</v>
      </c>
      <c r="Y84" s="18">
        <f t="shared" si="60"/>
        <v>0</v>
      </c>
      <c r="Z84" s="18">
        <f t="shared" si="60"/>
        <v>0</v>
      </c>
      <c r="AA84" s="18">
        <f t="shared" si="60"/>
        <v>27000</v>
      </c>
      <c r="AB84" s="18">
        <f t="shared" si="60"/>
        <v>5000</v>
      </c>
      <c r="AC84" s="18">
        <f t="shared" si="60"/>
        <v>0</v>
      </c>
      <c r="AD84" s="18">
        <f t="shared" si="60"/>
        <v>0</v>
      </c>
      <c r="AE84" s="18">
        <f t="shared" si="60"/>
        <v>60430</v>
      </c>
      <c r="AF84" s="18">
        <f t="shared" si="60"/>
        <v>5000</v>
      </c>
      <c r="AG84" s="18">
        <f t="shared" si="60"/>
        <v>0</v>
      </c>
      <c r="AH84" s="18">
        <f t="shared" si="60"/>
        <v>0</v>
      </c>
      <c r="AI84" s="18">
        <f t="shared" si="60"/>
        <v>12297</v>
      </c>
      <c r="AJ84" s="18">
        <f t="shared" si="60"/>
        <v>12297</v>
      </c>
      <c r="AK84" s="18">
        <f t="shared" si="60"/>
        <v>0</v>
      </c>
      <c r="AL84" s="18">
        <f t="shared" si="60"/>
        <v>0</v>
      </c>
      <c r="AM84" s="18">
        <f t="shared" si="60"/>
        <v>12297</v>
      </c>
      <c r="AN84" s="18">
        <f t="shared" si="60"/>
        <v>12297</v>
      </c>
      <c r="AO84" s="18">
        <f t="shared" si="60"/>
        <v>0</v>
      </c>
      <c r="AP84" s="18">
        <f t="shared" si="60"/>
        <v>0</v>
      </c>
      <c r="AQ84" s="18">
        <f t="shared" si="60"/>
        <v>85047</v>
      </c>
      <c r="AR84" s="18">
        <f t="shared" si="60"/>
        <v>19297</v>
      </c>
      <c r="AS84" s="18">
        <f t="shared" si="60"/>
        <v>17297</v>
      </c>
      <c r="AT84" s="18">
        <f t="shared" si="60"/>
        <v>16404</v>
      </c>
      <c r="AU84" s="18">
        <f t="shared" si="60"/>
        <v>16404</v>
      </c>
      <c r="AV84" s="18">
        <f t="shared" si="60"/>
        <v>0</v>
      </c>
      <c r="AW84" s="18">
        <f t="shared" si="60"/>
        <v>0</v>
      </c>
      <c r="AX84" s="18">
        <f t="shared" si="60"/>
        <v>101451</v>
      </c>
      <c r="AY84" s="18">
        <f t="shared" si="60"/>
        <v>33701</v>
      </c>
      <c r="AZ84" s="18">
        <f t="shared" si="60"/>
        <v>33701</v>
      </c>
      <c r="BA84" s="18">
        <f t="shared" si="60"/>
        <v>16323</v>
      </c>
      <c r="BB84" s="18">
        <f t="shared" si="60"/>
        <v>16323</v>
      </c>
      <c r="BC84" s="18">
        <f t="shared" si="60"/>
        <v>0</v>
      </c>
      <c r="BD84" s="18">
        <f t="shared" si="60"/>
        <v>0</v>
      </c>
      <c r="BE84" s="149"/>
    </row>
    <row r="85" spans="1:58" s="163" customFormat="1" ht="35.1" customHeight="1">
      <c r="A85" s="161" t="s">
        <v>150</v>
      </c>
      <c r="B85" s="162" t="s">
        <v>161</v>
      </c>
      <c r="C85" s="124"/>
      <c r="D85" s="124"/>
      <c r="E85" s="124"/>
      <c r="F85" s="124"/>
      <c r="G85" s="124"/>
      <c r="H85" s="124"/>
      <c r="I85" s="19"/>
      <c r="J85" s="20">
        <f>J86</f>
        <v>111000</v>
      </c>
      <c r="K85" s="20">
        <f t="shared" ref="K85:BA85" si="61">K86</f>
        <v>11100</v>
      </c>
      <c r="L85" s="20">
        <f t="shared" si="61"/>
        <v>12320</v>
      </c>
      <c r="M85" s="20">
        <f t="shared" si="61"/>
        <v>0</v>
      </c>
      <c r="N85" s="20">
        <f t="shared" si="61"/>
        <v>12320</v>
      </c>
      <c r="O85" s="20">
        <f t="shared" si="61"/>
        <v>0</v>
      </c>
      <c r="P85" s="20">
        <f t="shared" si="61"/>
        <v>45750</v>
      </c>
      <c r="Q85" s="20">
        <f t="shared" si="61"/>
        <v>0</v>
      </c>
      <c r="R85" s="20">
        <f t="shared" si="61"/>
        <v>87580</v>
      </c>
      <c r="S85" s="20">
        <f t="shared" si="61"/>
        <v>9990</v>
      </c>
      <c r="T85" s="20">
        <f t="shared" si="61"/>
        <v>0</v>
      </c>
      <c r="U85" s="20">
        <f t="shared" si="61"/>
        <v>0</v>
      </c>
      <c r="V85" s="20">
        <f t="shared" si="61"/>
        <v>65750</v>
      </c>
      <c r="W85" s="20">
        <f t="shared" si="61"/>
        <v>33430</v>
      </c>
      <c r="X85" s="20">
        <f t="shared" si="61"/>
        <v>0</v>
      </c>
      <c r="Y85" s="20">
        <f t="shared" si="61"/>
        <v>0</v>
      </c>
      <c r="Z85" s="20">
        <f t="shared" si="61"/>
        <v>0</v>
      </c>
      <c r="AA85" s="20">
        <f t="shared" si="61"/>
        <v>20000</v>
      </c>
      <c r="AB85" s="20">
        <f t="shared" si="61"/>
        <v>0</v>
      </c>
      <c r="AC85" s="20">
        <f t="shared" si="61"/>
        <v>0</v>
      </c>
      <c r="AD85" s="20">
        <f t="shared" si="61"/>
        <v>0</v>
      </c>
      <c r="AE85" s="20">
        <f t="shared" si="61"/>
        <v>53430</v>
      </c>
      <c r="AF85" s="20">
        <f t="shared" si="61"/>
        <v>0</v>
      </c>
      <c r="AG85" s="20">
        <f t="shared" si="61"/>
        <v>0</v>
      </c>
      <c r="AH85" s="20">
        <f t="shared" si="61"/>
        <v>0</v>
      </c>
      <c r="AI85" s="20">
        <f t="shared" si="61"/>
        <v>2000</v>
      </c>
      <c r="AJ85" s="20">
        <f t="shared" si="61"/>
        <v>2000</v>
      </c>
      <c r="AK85" s="20">
        <f t="shared" si="61"/>
        <v>0</v>
      </c>
      <c r="AL85" s="20">
        <f t="shared" si="61"/>
        <v>0</v>
      </c>
      <c r="AM85" s="20">
        <f t="shared" si="61"/>
        <v>2000</v>
      </c>
      <c r="AN85" s="20">
        <f t="shared" si="61"/>
        <v>2000</v>
      </c>
      <c r="AO85" s="20">
        <f t="shared" si="61"/>
        <v>0</v>
      </c>
      <c r="AP85" s="20">
        <f t="shared" si="61"/>
        <v>0</v>
      </c>
      <c r="AQ85" s="20">
        <f t="shared" si="61"/>
        <v>67750</v>
      </c>
      <c r="AR85" s="20">
        <f t="shared" si="61"/>
        <v>2000</v>
      </c>
      <c r="AS85" s="20">
        <f t="shared" si="61"/>
        <v>2000</v>
      </c>
      <c r="AT85" s="20">
        <f t="shared" si="61"/>
        <v>1000</v>
      </c>
      <c r="AU85" s="20">
        <f t="shared" si="61"/>
        <v>1000</v>
      </c>
      <c r="AV85" s="20">
        <f t="shared" si="61"/>
        <v>0</v>
      </c>
      <c r="AW85" s="20">
        <f t="shared" si="61"/>
        <v>0</v>
      </c>
      <c r="AX85" s="20">
        <f t="shared" si="61"/>
        <v>68750</v>
      </c>
      <c r="AY85" s="20">
        <f t="shared" si="61"/>
        <v>3000</v>
      </c>
      <c r="AZ85" s="20">
        <f t="shared" si="61"/>
        <v>3000</v>
      </c>
      <c r="BA85" s="20">
        <f t="shared" si="61"/>
        <v>6990</v>
      </c>
      <c r="BB85" s="20">
        <f>BB86</f>
        <v>6990</v>
      </c>
      <c r="BC85" s="20">
        <f t="shared" ref="BC85:BD85" si="62">BC86</f>
        <v>0</v>
      </c>
      <c r="BD85" s="20">
        <f t="shared" si="62"/>
        <v>0</v>
      </c>
      <c r="BE85" s="124"/>
    </row>
    <row r="86" spans="1:58" s="167" customFormat="1" ht="38.25" customHeight="1">
      <c r="A86" s="135">
        <v>3</v>
      </c>
      <c r="B86" s="164" t="s">
        <v>162</v>
      </c>
      <c r="C86" s="99" t="s">
        <v>152</v>
      </c>
      <c r="D86" s="99"/>
      <c r="E86" s="99" t="s">
        <v>153</v>
      </c>
      <c r="F86" s="99"/>
      <c r="G86" s="165" t="s">
        <v>163</v>
      </c>
      <c r="H86" s="165" t="s">
        <v>164</v>
      </c>
      <c r="I86" s="15" t="s">
        <v>165</v>
      </c>
      <c r="J86" s="26">
        <v>111000</v>
      </c>
      <c r="K86" s="26">
        <f>J86-99900</f>
        <v>11100</v>
      </c>
      <c r="L86" s="3">
        <v>12320</v>
      </c>
      <c r="M86" s="3"/>
      <c r="N86" s="3">
        <f>L86</f>
        <v>12320</v>
      </c>
      <c r="O86" s="3"/>
      <c r="P86" s="3">
        <f>L86+W86</f>
        <v>45750</v>
      </c>
      <c r="Q86" s="3">
        <f>M86+X86</f>
        <v>0</v>
      </c>
      <c r="R86" s="16">
        <v>87580</v>
      </c>
      <c r="S86" s="16">
        <v>9990</v>
      </c>
      <c r="T86" s="3"/>
      <c r="U86" s="3"/>
      <c r="V86" s="3">
        <f>12320+33430+20000</f>
        <v>65750</v>
      </c>
      <c r="W86" s="26">
        <v>33430</v>
      </c>
      <c r="X86" s="16"/>
      <c r="Y86" s="3"/>
      <c r="Z86" s="3"/>
      <c r="AA86" s="26">
        <v>20000</v>
      </c>
      <c r="AB86" s="16"/>
      <c r="AC86" s="3"/>
      <c r="AD86" s="3"/>
      <c r="AE86" s="3">
        <f>W86+AA86</f>
        <v>53430</v>
      </c>
      <c r="AF86" s="3">
        <f>X86+AB86</f>
        <v>0</v>
      </c>
      <c r="AG86" s="3"/>
      <c r="AH86" s="3"/>
      <c r="AI86" s="3">
        <f>AJ86</f>
        <v>2000</v>
      </c>
      <c r="AJ86" s="3">
        <f>AM86</f>
        <v>2000</v>
      </c>
      <c r="AK86" s="3">
        <f>AO86</f>
        <v>0</v>
      </c>
      <c r="AL86" s="3">
        <f>AP86</f>
        <v>0</v>
      </c>
      <c r="AM86" s="3">
        <f>AN86</f>
        <v>2000</v>
      </c>
      <c r="AN86" s="3">
        <v>2000</v>
      </c>
      <c r="AO86" s="3"/>
      <c r="AP86" s="3"/>
      <c r="AQ86" s="12">
        <f>V86+AN86</f>
        <v>67750</v>
      </c>
      <c r="AR86" s="12">
        <f>AS86</f>
        <v>2000</v>
      </c>
      <c r="AS86" s="12">
        <f t="shared" ref="AS86" si="63">AF86+AN86</f>
        <v>2000</v>
      </c>
      <c r="AT86" s="12">
        <f>AU86</f>
        <v>1000</v>
      </c>
      <c r="AU86" s="12">
        <v>1000</v>
      </c>
      <c r="AV86" s="12"/>
      <c r="AW86" s="12"/>
      <c r="AX86" s="3">
        <f>AQ86+AU86</f>
        <v>68750</v>
      </c>
      <c r="AY86" s="3">
        <f>AZ86</f>
        <v>3000</v>
      </c>
      <c r="AZ86" s="3">
        <f>AS86+AU86</f>
        <v>3000</v>
      </c>
      <c r="BA86" s="3">
        <f>BB86</f>
        <v>6990</v>
      </c>
      <c r="BB86" s="3">
        <f>S86-AZ86</f>
        <v>6990</v>
      </c>
      <c r="BC86" s="3"/>
      <c r="BD86" s="3"/>
      <c r="BE86" s="145"/>
      <c r="BF86" s="166"/>
    </row>
    <row r="87" spans="1:58" s="125" customFormat="1" ht="38.25" customHeight="1">
      <c r="A87" s="161" t="s">
        <v>166</v>
      </c>
      <c r="B87" s="162" t="s">
        <v>95</v>
      </c>
      <c r="C87" s="124"/>
      <c r="D87" s="124"/>
      <c r="E87" s="124"/>
      <c r="F87" s="124"/>
      <c r="G87" s="124"/>
      <c r="H87" s="124"/>
      <c r="I87" s="19"/>
      <c r="J87" s="20">
        <f>SUM(J88:J89)</f>
        <v>50000</v>
      </c>
      <c r="K87" s="20">
        <f t="shared" ref="K87:BA87" si="64">SUM(K88:K89)</f>
        <v>47000</v>
      </c>
      <c r="L87" s="20">
        <f t="shared" si="64"/>
        <v>0</v>
      </c>
      <c r="M87" s="20">
        <f t="shared" si="64"/>
        <v>0</v>
      </c>
      <c r="N87" s="20">
        <f t="shared" si="64"/>
        <v>0</v>
      </c>
      <c r="O87" s="20">
        <f t="shared" si="64"/>
        <v>0</v>
      </c>
      <c r="P87" s="20">
        <f t="shared" si="64"/>
        <v>0</v>
      </c>
      <c r="Q87" s="20">
        <f t="shared" si="64"/>
        <v>0</v>
      </c>
      <c r="R87" s="20">
        <f t="shared" si="64"/>
        <v>45000</v>
      </c>
      <c r="S87" s="20">
        <f t="shared" si="64"/>
        <v>42300</v>
      </c>
      <c r="T87" s="20">
        <f t="shared" si="64"/>
        <v>0</v>
      </c>
      <c r="U87" s="20">
        <f t="shared" si="64"/>
        <v>0</v>
      </c>
      <c r="V87" s="20">
        <f t="shared" si="64"/>
        <v>5000</v>
      </c>
      <c r="W87" s="20">
        <f t="shared" si="64"/>
        <v>0</v>
      </c>
      <c r="X87" s="20">
        <f t="shared" si="64"/>
        <v>0</v>
      </c>
      <c r="Y87" s="20">
        <f t="shared" si="64"/>
        <v>0</v>
      </c>
      <c r="Z87" s="20">
        <f t="shared" si="64"/>
        <v>0</v>
      </c>
      <c r="AA87" s="20">
        <f t="shared" si="64"/>
        <v>7000</v>
      </c>
      <c r="AB87" s="20">
        <f t="shared" si="64"/>
        <v>5000</v>
      </c>
      <c r="AC87" s="20">
        <f t="shared" si="64"/>
        <v>0</v>
      </c>
      <c r="AD87" s="20">
        <f t="shared" si="64"/>
        <v>0</v>
      </c>
      <c r="AE87" s="20">
        <f t="shared" si="64"/>
        <v>7000</v>
      </c>
      <c r="AF87" s="20">
        <f t="shared" si="64"/>
        <v>5000</v>
      </c>
      <c r="AG87" s="20">
        <f t="shared" si="64"/>
        <v>0</v>
      </c>
      <c r="AH87" s="20">
        <f t="shared" si="64"/>
        <v>0</v>
      </c>
      <c r="AI87" s="20">
        <f t="shared" si="64"/>
        <v>10297</v>
      </c>
      <c r="AJ87" s="20">
        <f t="shared" si="64"/>
        <v>10297</v>
      </c>
      <c r="AK87" s="20">
        <f t="shared" si="64"/>
        <v>0</v>
      </c>
      <c r="AL87" s="20">
        <f t="shared" si="64"/>
        <v>0</v>
      </c>
      <c r="AM87" s="20">
        <f t="shared" si="64"/>
        <v>10297</v>
      </c>
      <c r="AN87" s="20">
        <f t="shared" si="64"/>
        <v>10297</v>
      </c>
      <c r="AO87" s="20">
        <f t="shared" si="64"/>
        <v>0</v>
      </c>
      <c r="AP87" s="20">
        <f t="shared" si="64"/>
        <v>0</v>
      </c>
      <c r="AQ87" s="20">
        <f t="shared" si="64"/>
        <v>17297</v>
      </c>
      <c r="AR87" s="20">
        <f t="shared" si="64"/>
        <v>17297</v>
      </c>
      <c r="AS87" s="20">
        <f t="shared" si="64"/>
        <v>15297</v>
      </c>
      <c r="AT87" s="20">
        <f t="shared" si="64"/>
        <v>15404</v>
      </c>
      <c r="AU87" s="20">
        <f t="shared" si="64"/>
        <v>15404</v>
      </c>
      <c r="AV87" s="20">
        <f t="shared" si="64"/>
        <v>0</v>
      </c>
      <c r="AW87" s="20">
        <f t="shared" si="64"/>
        <v>0</v>
      </c>
      <c r="AX87" s="20">
        <f t="shared" si="64"/>
        <v>32701</v>
      </c>
      <c r="AY87" s="20">
        <f t="shared" si="64"/>
        <v>30701</v>
      </c>
      <c r="AZ87" s="20">
        <f t="shared" si="64"/>
        <v>30701</v>
      </c>
      <c r="BA87" s="20">
        <f t="shared" si="64"/>
        <v>9333</v>
      </c>
      <c r="BB87" s="20">
        <f>SUM(BB88:BB89)</f>
        <v>9333</v>
      </c>
      <c r="BC87" s="20">
        <f t="shared" ref="BC87:BD87" si="65">SUM(BC88:BC89)</f>
        <v>0</v>
      </c>
      <c r="BD87" s="20">
        <f t="shared" si="65"/>
        <v>0</v>
      </c>
      <c r="BE87" s="109"/>
    </row>
    <row r="88" spans="1:58" s="146" customFormat="1" ht="43.5" customHeight="1">
      <c r="A88" s="72">
        <v>4</v>
      </c>
      <c r="B88" s="136" t="s">
        <v>167</v>
      </c>
      <c r="C88" s="99" t="s">
        <v>152</v>
      </c>
      <c r="D88" s="99"/>
      <c r="E88" s="99" t="s">
        <v>153</v>
      </c>
      <c r="F88" s="99"/>
      <c r="G88" s="99"/>
      <c r="H88" s="99" t="s">
        <v>100</v>
      </c>
      <c r="I88" s="15" t="s">
        <v>168</v>
      </c>
      <c r="J88" s="3">
        <v>25000</v>
      </c>
      <c r="K88" s="3">
        <v>22000</v>
      </c>
      <c r="L88" s="3"/>
      <c r="M88" s="3"/>
      <c r="N88" s="3"/>
      <c r="O88" s="3"/>
      <c r="P88" s="3">
        <f t="shared" ref="P88:Q88" si="66">L88+W88</f>
        <v>0</v>
      </c>
      <c r="Q88" s="3">
        <f t="shared" si="66"/>
        <v>0</v>
      </c>
      <c r="R88" s="3">
        <v>22500</v>
      </c>
      <c r="S88" s="3">
        <v>19800</v>
      </c>
      <c r="T88" s="3"/>
      <c r="U88" s="3">
        <v>0</v>
      </c>
      <c r="V88" s="3">
        <v>5000</v>
      </c>
      <c r="W88" s="3"/>
      <c r="X88" s="3"/>
      <c r="Y88" s="3"/>
      <c r="Z88" s="3"/>
      <c r="AA88" s="3">
        <v>7000</v>
      </c>
      <c r="AB88" s="3">
        <v>5000</v>
      </c>
      <c r="AC88" s="3"/>
      <c r="AD88" s="3"/>
      <c r="AE88" s="3">
        <f>W88+AA88</f>
        <v>7000</v>
      </c>
      <c r="AF88" s="3">
        <f>X88+AB88</f>
        <v>5000</v>
      </c>
      <c r="AG88" s="3"/>
      <c r="AH88" s="3"/>
      <c r="AI88" s="3">
        <f t="shared" ref="AI88:AL89" si="67">AM88</f>
        <v>4297</v>
      </c>
      <c r="AJ88" s="3">
        <f t="shared" si="67"/>
        <v>4297</v>
      </c>
      <c r="AK88" s="3">
        <f t="shared" si="67"/>
        <v>0</v>
      </c>
      <c r="AL88" s="3">
        <f t="shared" si="67"/>
        <v>0</v>
      </c>
      <c r="AM88" s="3">
        <f>AN88</f>
        <v>4297</v>
      </c>
      <c r="AN88" s="3">
        <v>4297</v>
      </c>
      <c r="AO88" s="3"/>
      <c r="AP88" s="3"/>
      <c r="AQ88" s="3">
        <f>AR88</f>
        <v>11297</v>
      </c>
      <c r="AR88" s="3">
        <f>AE88+AM88</f>
        <v>11297</v>
      </c>
      <c r="AS88" s="3">
        <f>AF88+AN88</f>
        <v>9297</v>
      </c>
      <c r="AT88" s="3">
        <f t="shared" ref="AT88" si="68">AU88</f>
        <v>8237</v>
      </c>
      <c r="AU88" s="3">
        <v>8237</v>
      </c>
      <c r="AV88" s="3"/>
      <c r="AW88" s="3"/>
      <c r="AX88" s="3">
        <f>AQ88+AU88</f>
        <v>19534</v>
      </c>
      <c r="AY88" s="3">
        <f>AZ88</f>
        <v>17534</v>
      </c>
      <c r="AZ88" s="3">
        <f>AS88+AU88</f>
        <v>17534</v>
      </c>
      <c r="BA88" s="3">
        <f>BB88</f>
        <v>0</v>
      </c>
      <c r="BB88" s="3"/>
      <c r="BC88" s="3"/>
      <c r="BD88" s="3"/>
      <c r="BE88" s="168" t="s">
        <v>169</v>
      </c>
    </row>
    <row r="89" spans="1:58" s="146" customFormat="1" ht="49.7" customHeight="1">
      <c r="A89" s="72">
        <v>5</v>
      </c>
      <c r="B89" s="169" t="s">
        <v>170</v>
      </c>
      <c r="C89" s="99" t="s">
        <v>152</v>
      </c>
      <c r="D89" s="99"/>
      <c r="E89" s="99" t="s">
        <v>153</v>
      </c>
      <c r="F89" s="99"/>
      <c r="G89" s="99"/>
      <c r="H89" s="99" t="s">
        <v>125</v>
      </c>
      <c r="I89" s="145" t="s">
        <v>171</v>
      </c>
      <c r="J89" s="3">
        <f>K89</f>
        <v>25000</v>
      </c>
      <c r="K89" s="3">
        <v>25000</v>
      </c>
      <c r="L89" s="3"/>
      <c r="M89" s="3"/>
      <c r="N89" s="3"/>
      <c r="O89" s="3"/>
      <c r="P89" s="3">
        <f>L89+W89</f>
        <v>0</v>
      </c>
      <c r="Q89" s="3">
        <f>M89+X89</f>
        <v>0</v>
      </c>
      <c r="R89" s="3">
        <f>S89</f>
        <v>22500</v>
      </c>
      <c r="S89" s="3">
        <v>22500</v>
      </c>
      <c r="T89" s="3"/>
      <c r="U89" s="3"/>
      <c r="V89" s="3"/>
      <c r="W89" s="3"/>
      <c r="X89" s="3"/>
      <c r="Y89" s="3"/>
      <c r="Z89" s="3"/>
      <c r="AA89" s="3"/>
      <c r="AB89" s="3"/>
      <c r="AC89" s="3"/>
      <c r="AD89" s="3"/>
      <c r="AE89" s="4">
        <f>W89+AA89</f>
        <v>0</v>
      </c>
      <c r="AF89" s="4">
        <f>X89+AB89</f>
        <v>0</v>
      </c>
      <c r="AG89" s="4"/>
      <c r="AH89" s="4"/>
      <c r="AI89" s="3">
        <f t="shared" si="67"/>
        <v>6000</v>
      </c>
      <c r="AJ89" s="3">
        <f t="shared" si="67"/>
        <v>6000</v>
      </c>
      <c r="AK89" s="4">
        <f t="shared" si="67"/>
        <v>0</v>
      </c>
      <c r="AL89" s="4">
        <f t="shared" si="67"/>
        <v>0</v>
      </c>
      <c r="AM89" s="3">
        <f>AN89</f>
        <v>6000</v>
      </c>
      <c r="AN89" s="3">
        <v>6000</v>
      </c>
      <c r="AO89" s="3"/>
      <c r="AP89" s="3"/>
      <c r="AQ89" s="12">
        <f>V89+AN89</f>
        <v>6000</v>
      </c>
      <c r="AR89" s="12">
        <f>AS89</f>
        <v>6000</v>
      </c>
      <c r="AS89" s="12">
        <f>AF89+AN89</f>
        <v>6000</v>
      </c>
      <c r="AT89" s="12">
        <f>AU89</f>
        <v>7167</v>
      </c>
      <c r="AU89" s="12">
        <f>6000+1167</f>
        <v>7167</v>
      </c>
      <c r="AV89" s="12"/>
      <c r="AW89" s="12"/>
      <c r="AX89" s="3">
        <f>AQ89+AU89</f>
        <v>13167</v>
      </c>
      <c r="AY89" s="3">
        <f>AZ89</f>
        <v>13167</v>
      </c>
      <c r="AZ89" s="3">
        <f>AS89+AU89</f>
        <v>13167</v>
      </c>
      <c r="BA89" s="3">
        <f>BB89</f>
        <v>9333</v>
      </c>
      <c r="BB89" s="3">
        <f>S89-AZ89</f>
        <v>9333</v>
      </c>
      <c r="BC89" s="3"/>
      <c r="BD89" s="3"/>
      <c r="BE89" s="160" t="s">
        <v>156</v>
      </c>
      <c r="BF89" s="57"/>
    </row>
    <row r="90" spans="1:58" s="115" customFormat="1" ht="32.25" customHeight="1">
      <c r="A90" s="75" t="s">
        <v>172</v>
      </c>
      <c r="B90" s="91" t="s">
        <v>173</v>
      </c>
      <c r="C90" s="87"/>
      <c r="D90" s="87"/>
      <c r="E90" s="87"/>
      <c r="F90" s="87"/>
      <c r="G90" s="87"/>
      <c r="H90" s="87"/>
      <c r="I90" s="8"/>
      <c r="J90" s="4">
        <f>J91</f>
        <v>14000</v>
      </c>
      <c r="K90" s="4">
        <f t="shared" ref="K90:BD90" si="69">K91</f>
        <v>14000</v>
      </c>
      <c r="L90" s="4">
        <f t="shared" si="69"/>
        <v>0</v>
      </c>
      <c r="M90" s="4">
        <f t="shared" si="69"/>
        <v>0</v>
      </c>
      <c r="N90" s="4">
        <f t="shared" si="69"/>
        <v>0</v>
      </c>
      <c r="O90" s="4">
        <f t="shared" si="69"/>
        <v>0</v>
      </c>
      <c r="P90" s="4">
        <f t="shared" si="69"/>
        <v>0</v>
      </c>
      <c r="Q90" s="4">
        <f t="shared" si="69"/>
        <v>0</v>
      </c>
      <c r="R90" s="4">
        <f t="shared" si="69"/>
        <v>8000</v>
      </c>
      <c r="S90" s="4">
        <f t="shared" si="69"/>
        <v>8000</v>
      </c>
      <c r="T90" s="4">
        <f t="shared" si="69"/>
        <v>0</v>
      </c>
      <c r="U90" s="4">
        <f t="shared" si="69"/>
        <v>0</v>
      </c>
      <c r="V90" s="4">
        <f t="shared" si="69"/>
        <v>0</v>
      </c>
      <c r="W90" s="4">
        <f t="shared" si="69"/>
        <v>0</v>
      </c>
      <c r="X90" s="4">
        <f t="shared" si="69"/>
        <v>0</v>
      </c>
      <c r="Y90" s="4">
        <f t="shared" si="69"/>
        <v>0</v>
      </c>
      <c r="Z90" s="4">
        <f t="shared" si="69"/>
        <v>0</v>
      </c>
      <c r="AA90" s="4">
        <f t="shared" si="69"/>
        <v>0</v>
      </c>
      <c r="AB90" s="4">
        <f t="shared" si="69"/>
        <v>0</v>
      </c>
      <c r="AC90" s="4">
        <f t="shared" si="69"/>
        <v>0</v>
      </c>
      <c r="AD90" s="4">
        <f t="shared" si="69"/>
        <v>0</v>
      </c>
      <c r="AE90" s="4">
        <f t="shared" si="69"/>
        <v>0</v>
      </c>
      <c r="AF90" s="4">
        <f t="shared" si="69"/>
        <v>0</v>
      </c>
      <c r="AG90" s="4"/>
      <c r="AH90" s="4"/>
      <c r="AI90" s="4">
        <f t="shared" si="69"/>
        <v>220</v>
      </c>
      <c r="AJ90" s="4">
        <f t="shared" si="69"/>
        <v>220</v>
      </c>
      <c r="AK90" s="4">
        <f t="shared" si="69"/>
        <v>0</v>
      </c>
      <c r="AL90" s="4">
        <f t="shared" si="69"/>
        <v>0</v>
      </c>
      <c r="AM90" s="4">
        <f t="shared" si="69"/>
        <v>220</v>
      </c>
      <c r="AN90" s="4">
        <f>AN91</f>
        <v>220</v>
      </c>
      <c r="AO90" s="4">
        <f t="shared" si="69"/>
        <v>0</v>
      </c>
      <c r="AP90" s="4">
        <f t="shared" si="69"/>
        <v>0</v>
      </c>
      <c r="AQ90" s="22">
        <f t="shared" si="69"/>
        <v>100</v>
      </c>
      <c r="AR90" s="22">
        <f t="shared" si="69"/>
        <v>100</v>
      </c>
      <c r="AS90" s="22">
        <f t="shared" si="69"/>
        <v>100</v>
      </c>
      <c r="AT90" s="22">
        <f t="shared" si="69"/>
        <v>2450</v>
      </c>
      <c r="AU90" s="22">
        <f t="shared" si="69"/>
        <v>2450</v>
      </c>
      <c r="AV90" s="22">
        <f t="shared" si="69"/>
        <v>0</v>
      </c>
      <c r="AW90" s="22">
        <f t="shared" si="69"/>
        <v>0</v>
      </c>
      <c r="AX90" s="4">
        <f t="shared" si="69"/>
        <v>2550</v>
      </c>
      <c r="AY90" s="4">
        <f t="shared" si="69"/>
        <v>2550</v>
      </c>
      <c r="AZ90" s="4">
        <f t="shared" si="69"/>
        <v>2550</v>
      </c>
      <c r="BA90" s="4">
        <f t="shared" si="69"/>
        <v>5450</v>
      </c>
      <c r="BB90" s="4">
        <f t="shared" si="69"/>
        <v>5450</v>
      </c>
      <c r="BC90" s="22">
        <f t="shared" si="69"/>
        <v>0</v>
      </c>
      <c r="BD90" s="22">
        <f t="shared" si="69"/>
        <v>0</v>
      </c>
      <c r="BE90" s="170"/>
      <c r="BF90" s="89"/>
    </row>
    <row r="91" spans="1:58" s="115" customFormat="1" ht="35.450000000000003" customHeight="1">
      <c r="A91" s="142" t="s">
        <v>150</v>
      </c>
      <c r="B91" s="93" t="s">
        <v>95</v>
      </c>
      <c r="C91" s="87"/>
      <c r="D91" s="87"/>
      <c r="E91" s="87"/>
      <c r="F91" s="87"/>
      <c r="G91" s="87"/>
      <c r="H91" s="87"/>
      <c r="I91" s="8"/>
      <c r="J91" s="4">
        <f>SUM(J92:J93)</f>
        <v>14000</v>
      </c>
      <c r="K91" s="4">
        <f t="shared" ref="K91:BD91" si="70">SUM(K92:K93)</f>
        <v>14000</v>
      </c>
      <c r="L91" s="4">
        <f t="shared" si="70"/>
        <v>0</v>
      </c>
      <c r="M91" s="4">
        <f t="shared" si="70"/>
        <v>0</v>
      </c>
      <c r="N91" s="4">
        <f t="shared" si="70"/>
        <v>0</v>
      </c>
      <c r="O91" s="4">
        <f t="shared" si="70"/>
        <v>0</v>
      </c>
      <c r="P91" s="4">
        <f t="shared" si="70"/>
        <v>0</v>
      </c>
      <c r="Q91" s="4">
        <f t="shared" si="70"/>
        <v>0</v>
      </c>
      <c r="R91" s="4">
        <f t="shared" si="70"/>
        <v>8000</v>
      </c>
      <c r="S91" s="4">
        <f t="shared" si="70"/>
        <v>8000</v>
      </c>
      <c r="T91" s="4">
        <f t="shared" si="70"/>
        <v>0</v>
      </c>
      <c r="U91" s="4">
        <f t="shared" si="70"/>
        <v>0</v>
      </c>
      <c r="V91" s="4">
        <f t="shared" si="70"/>
        <v>0</v>
      </c>
      <c r="W91" s="4">
        <f t="shared" si="70"/>
        <v>0</v>
      </c>
      <c r="X91" s="4">
        <f t="shared" si="70"/>
        <v>0</v>
      </c>
      <c r="Y91" s="4">
        <f t="shared" si="70"/>
        <v>0</v>
      </c>
      <c r="Z91" s="4">
        <f t="shared" si="70"/>
        <v>0</v>
      </c>
      <c r="AA91" s="4">
        <f t="shared" si="70"/>
        <v>0</v>
      </c>
      <c r="AB91" s="4">
        <f t="shared" si="70"/>
        <v>0</v>
      </c>
      <c r="AC91" s="4">
        <f t="shared" si="70"/>
        <v>0</v>
      </c>
      <c r="AD91" s="4">
        <f t="shared" si="70"/>
        <v>0</v>
      </c>
      <c r="AE91" s="4">
        <f t="shared" si="70"/>
        <v>0</v>
      </c>
      <c r="AF91" s="4">
        <f t="shared" si="70"/>
        <v>0</v>
      </c>
      <c r="AG91" s="4">
        <f t="shared" si="70"/>
        <v>0</v>
      </c>
      <c r="AH91" s="4">
        <f t="shared" si="70"/>
        <v>0</v>
      </c>
      <c r="AI91" s="4">
        <f t="shared" si="70"/>
        <v>220</v>
      </c>
      <c r="AJ91" s="4">
        <f t="shared" si="70"/>
        <v>220</v>
      </c>
      <c r="AK91" s="4">
        <f t="shared" si="70"/>
        <v>0</v>
      </c>
      <c r="AL91" s="4">
        <f t="shared" si="70"/>
        <v>0</v>
      </c>
      <c r="AM91" s="4">
        <f t="shared" si="70"/>
        <v>220</v>
      </c>
      <c r="AN91" s="4">
        <f t="shared" si="70"/>
        <v>220</v>
      </c>
      <c r="AO91" s="4">
        <f t="shared" si="70"/>
        <v>0</v>
      </c>
      <c r="AP91" s="4">
        <f t="shared" si="70"/>
        <v>0</v>
      </c>
      <c r="AQ91" s="4">
        <f t="shared" si="70"/>
        <v>100</v>
      </c>
      <c r="AR91" s="4">
        <f t="shared" si="70"/>
        <v>100</v>
      </c>
      <c r="AS91" s="4">
        <f t="shared" si="70"/>
        <v>100</v>
      </c>
      <c r="AT91" s="4">
        <f t="shared" si="70"/>
        <v>2450</v>
      </c>
      <c r="AU91" s="4">
        <f t="shared" si="70"/>
        <v>2450</v>
      </c>
      <c r="AV91" s="4">
        <f t="shared" si="70"/>
        <v>0</v>
      </c>
      <c r="AW91" s="4">
        <f t="shared" si="70"/>
        <v>0</v>
      </c>
      <c r="AX91" s="4">
        <f t="shared" si="70"/>
        <v>2550</v>
      </c>
      <c r="AY91" s="4">
        <f t="shared" si="70"/>
        <v>2550</v>
      </c>
      <c r="AZ91" s="4">
        <f t="shared" si="70"/>
        <v>2550</v>
      </c>
      <c r="BA91" s="4">
        <f t="shared" si="70"/>
        <v>5450</v>
      </c>
      <c r="BB91" s="4">
        <f>SUM(BB92:BB93)</f>
        <v>5450</v>
      </c>
      <c r="BC91" s="4">
        <f t="shared" si="70"/>
        <v>0</v>
      </c>
      <c r="BD91" s="4">
        <f t="shared" si="70"/>
        <v>0</v>
      </c>
      <c r="BE91" s="170"/>
      <c r="BF91" s="89"/>
    </row>
    <row r="92" spans="1:58" s="146" customFormat="1" ht="41.25" customHeight="1">
      <c r="A92" s="72">
        <v>6</v>
      </c>
      <c r="B92" s="171" t="s">
        <v>174</v>
      </c>
      <c r="C92" s="99" t="s">
        <v>152</v>
      </c>
      <c r="D92" s="99"/>
      <c r="E92" s="99" t="s">
        <v>153</v>
      </c>
      <c r="F92" s="99"/>
      <c r="G92" s="99"/>
      <c r="H92" s="99" t="s">
        <v>175</v>
      </c>
      <c r="I92" s="145" t="s">
        <v>176</v>
      </c>
      <c r="J92" s="3">
        <v>7000</v>
      </c>
      <c r="K92" s="3">
        <v>7000</v>
      </c>
      <c r="L92" s="3"/>
      <c r="M92" s="3"/>
      <c r="N92" s="3"/>
      <c r="O92" s="3"/>
      <c r="P92" s="3">
        <f t="shared" ref="P92:Q93" si="71">L92+W92</f>
        <v>0</v>
      </c>
      <c r="Q92" s="3">
        <f t="shared" si="71"/>
        <v>0</v>
      </c>
      <c r="R92" s="16">
        <f>S92</f>
        <v>3000</v>
      </c>
      <c r="S92" s="16">
        <v>3000</v>
      </c>
      <c r="T92" s="3"/>
      <c r="U92" s="3"/>
      <c r="V92" s="3"/>
      <c r="W92" s="3"/>
      <c r="X92" s="3"/>
      <c r="Y92" s="3"/>
      <c r="Z92" s="3"/>
      <c r="AA92" s="3"/>
      <c r="AB92" s="3"/>
      <c r="AC92" s="3"/>
      <c r="AD92" s="3"/>
      <c r="AE92" s="4">
        <f>W92+AA92</f>
        <v>0</v>
      </c>
      <c r="AF92" s="4">
        <f>X92+AB92</f>
        <v>0</v>
      </c>
      <c r="AG92" s="4"/>
      <c r="AH92" s="4"/>
      <c r="AI92" s="3">
        <f t="shared" ref="AI92:AL93" si="72">AM92</f>
        <v>100</v>
      </c>
      <c r="AJ92" s="3">
        <f t="shared" si="72"/>
        <v>100</v>
      </c>
      <c r="AK92" s="4">
        <f t="shared" si="72"/>
        <v>0</v>
      </c>
      <c r="AL92" s="4">
        <f t="shared" si="72"/>
        <v>0</v>
      </c>
      <c r="AM92" s="3">
        <f>AN92</f>
        <v>100</v>
      </c>
      <c r="AN92" s="3">
        <v>100</v>
      </c>
      <c r="AO92" s="3"/>
      <c r="AP92" s="3"/>
      <c r="AQ92" s="12">
        <v>100</v>
      </c>
      <c r="AR92" s="12">
        <f>+AS92</f>
        <v>100</v>
      </c>
      <c r="AS92" s="12">
        <v>100</v>
      </c>
      <c r="AT92" s="12">
        <f>AU92</f>
        <v>2450</v>
      </c>
      <c r="AU92" s="12">
        <v>2450</v>
      </c>
      <c r="AV92" s="12"/>
      <c r="AW92" s="12"/>
      <c r="AX92" s="3">
        <f>AQ92+AU92</f>
        <v>2550</v>
      </c>
      <c r="AY92" s="3">
        <f>AZ92</f>
        <v>2550</v>
      </c>
      <c r="AZ92" s="3">
        <f>AS92+AU92</f>
        <v>2550</v>
      </c>
      <c r="BA92" s="3">
        <f>BB92</f>
        <v>450</v>
      </c>
      <c r="BB92" s="3">
        <f>S92-AZ92</f>
        <v>450</v>
      </c>
      <c r="BC92" s="3"/>
      <c r="BD92" s="3"/>
      <c r="BE92" s="160"/>
      <c r="BF92" s="57"/>
    </row>
    <row r="93" spans="1:58" s="146" customFormat="1" ht="45.75" customHeight="1">
      <c r="A93" s="72">
        <v>7</v>
      </c>
      <c r="B93" s="136" t="s">
        <v>177</v>
      </c>
      <c r="C93" s="99" t="s">
        <v>152</v>
      </c>
      <c r="D93" s="99"/>
      <c r="E93" s="99" t="s">
        <v>153</v>
      </c>
      <c r="F93" s="99"/>
      <c r="G93" s="99"/>
      <c r="H93" s="99"/>
      <c r="I93" s="145" t="s">
        <v>178</v>
      </c>
      <c r="J93" s="3">
        <f>+K93</f>
        <v>7000</v>
      </c>
      <c r="K93" s="3">
        <v>7000</v>
      </c>
      <c r="L93" s="3"/>
      <c r="M93" s="3"/>
      <c r="N93" s="3"/>
      <c r="O93" s="3"/>
      <c r="P93" s="3">
        <f t="shared" si="71"/>
        <v>0</v>
      </c>
      <c r="Q93" s="3">
        <f t="shared" si="71"/>
        <v>0</v>
      </c>
      <c r="R93" s="3">
        <f>S93</f>
        <v>5000</v>
      </c>
      <c r="S93" s="3">
        <v>5000</v>
      </c>
      <c r="T93" s="3"/>
      <c r="U93" s="3"/>
      <c r="V93" s="3"/>
      <c r="W93" s="3"/>
      <c r="X93" s="3"/>
      <c r="Y93" s="3"/>
      <c r="Z93" s="3"/>
      <c r="AA93" s="3"/>
      <c r="AB93" s="3"/>
      <c r="AC93" s="3"/>
      <c r="AD93" s="3"/>
      <c r="AE93" s="3">
        <f>W93+AA93</f>
        <v>0</v>
      </c>
      <c r="AF93" s="3">
        <f>X93+AB93</f>
        <v>0</v>
      </c>
      <c r="AG93" s="3"/>
      <c r="AH93" s="3"/>
      <c r="AI93" s="3">
        <f t="shared" si="72"/>
        <v>120</v>
      </c>
      <c r="AJ93" s="3">
        <f t="shared" si="72"/>
        <v>120</v>
      </c>
      <c r="AK93" s="3">
        <f t="shared" si="72"/>
        <v>0</v>
      </c>
      <c r="AL93" s="3">
        <f t="shared" si="72"/>
        <v>0</v>
      </c>
      <c r="AM93" s="3">
        <f>AN93</f>
        <v>120</v>
      </c>
      <c r="AN93" s="3">
        <v>120</v>
      </c>
      <c r="AO93" s="3"/>
      <c r="AP93" s="3"/>
      <c r="AQ93" s="3"/>
      <c r="AR93" s="3"/>
      <c r="AS93" s="3"/>
      <c r="AT93" s="3">
        <f>AU93</f>
        <v>0</v>
      </c>
      <c r="AU93" s="3"/>
      <c r="AV93" s="3"/>
      <c r="AW93" s="3"/>
      <c r="AX93" s="3">
        <f>AQ93+AU93</f>
        <v>0</v>
      </c>
      <c r="AY93" s="3">
        <f>AZ93</f>
        <v>0</v>
      </c>
      <c r="AZ93" s="3">
        <f>AS93+AU93</f>
        <v>0</v>
      </c>
      <c r="BA93" s="3">
        <f>BB93</f>
        <v>5000</v>
      </c>
      <c r="BB93" s="3">
        <f>S93-AZ93</f>
        <v>5000</v>
      </c>
      <c r="BC93" s="3"/>
      <c r="BD93" s="3"/>
      <c r="BE93" s="99"/>
    </row>
    <row r="94" spans="1:58" s="146" customFormat="1" ht="37.5" customHeight="1">
      <c r="A94" s="75" t="s">
        <v>137</v>
      </c>
      <c r="B94" s="141" t="s">
        <v>138</v>
      </c>
      <c r="C94" s="99"/>
      <c r="D94" s="99"/>
      <c r="E94" s="99"/>
      <c r="F94" s="99"/>
      <c r="G94" s="99"/>
      <c r="H94" s="99"/>
      <c r="I94" s="15"/>
      <c r="J94" s="4">
        <f t="shared" ref="J94:BD94" si="73">+SUM(J95:J100)</f>
        <v>41000</v>
      </c>
      <c r="K94" s="4">
        <f t="shared" si="73"/>
        <v>41000</v>
      </c>
      <c r="L94" s="4">
        <f t="shared" si="73"/>
        <v>0</v>
      </c>
      <c r="M94" s="4">
        <f t="shared" si="73"/>
        <v>0</v>
      </c>
      <c r="N94" s="4">
        <f t="shared" si="73"/>
        <v>0</v>
      </c>
      <c r="O94" s="4">
        <f t="shared" si="73"/>
        <v>0</v>
      </c>
      <c r="P94" s="4">
        <f t="shared" si="73"/>
        <v>0</v>
      </c>
      <c r="Q94" s="4">
        <f t="shared" si="73"/>
        <v>0</v>
      </c>
      <c r="R94" s="4">
        <f t="shared" si="73"/>
        <v>22638</v>
      </c>
      <c r="S94" s="4">
        <f t="shared" si="73"/>
        <v>22638</v>
      </c>
      <c r="T94" s="4">
        <f t="shared" si="73"/>
        <v>0</v>
      </c>
      <c r="U94" s="4">
        <f t="shared" si="73"/>
        <v>0</v>
      </c>
      <c r="V94" s="4">
        <f t="shared" si="73"/>
        <v>0</v>
      </c>
      <c r="W94" s="4">
        <f t="shared" si="73"/>
        <v>0</v>
      </c>
      <c r="X94" s="4">
        <f t="shared" si="73"/>
        <v>0</v>
      </c>
      <c r="Y94" s="4">
        <f t="shared" si="73"/>
        <v>0</v>
      </c>
      <c r="Z94" s="4">
        <f t="shared" si="73"/>
        <v>0</v>
      </c>
      <c r="AA94" s="4">
        <f t="shared" si="73"/>
        <v>0</v>
      </c>
      <c r="AB94" s="4">
        <f t="shared" si="73"/>
        <v>0</v>
      </c>
      <c r="AC94" s="4">
        <f t="shared" si="73"/>
        <v>0</v>
      </c>
      <c r="AD94" s="4">
        <f t="shared" si="73"/>
        <v>0</v>
      </c>
      <c r="AE94" s="4">
        <f t="shared" si="73"/>
        <v>0</v>
      </c>
      <c r="AF94" s="4">
        <f t="shared" si="73"/>
        <v>0</v>
      </c>
      <c r="AG94" s="4">
        <f t="shared" si="73"/>
        <v>0</v>
      </c>
      <c r="AH94" s="4">
        <f t="shared" si="73"/>
        <v>0</v>
      </c>
      <c r="AI94" s="4">
        <f t="shared" si="73"/>
        <v>0</v>
      </c>
      <c r="AJ94" s="4">
        <f t="shared" si="73"/>
        <v>0</v>
      </c>
      <c r="AK94" s="4">
        <f t="shared" si="73"/>
        <v>0</v>
      </c>
      <c r="AL94" s="4">
        <f t="shared" si="73"/>
        <v>0</v>
      </c>
      <c r="AM94" s="4">
        <f t="shared" si="73"/>
        <v>0</v>
      </c>
      <c r="AN94" s="4">
        <f t="shared" si="73"/>
        <v>0</v>
      </c>
      <c r="AO94" s="4">
        <f t="shared" si="73"/>
        <v>0</v>
      </c>
      <c r="AP94" s="4">
        <f t="shared" si="73"/>
        <v>0</v>
      </c>
      <c r="AQ94" s="4">
        <f t="shared" si="73"/>
        <v>0</v>
      </c>
      <c r="AR94" s="4">
        <f t="shared" si="73"/>
        <v>0</v>
      </c>
      <c r="AS94" s="4">
        <f t="shared" si="73"/>
        <v>200</v>
      </c>
      <c r="AT94" s="4">
        <f t="shared" si="73"/>
        <v>250</v>
      </c>
      <c r="AU94" s="4">
        <f t="shared" si="73"/>
        <v>250</v>
      </c>
      <c r="AV94" s="4">
        <f t="shared" si="73"/>
        <v>0</v>
      </c>
      <c r="AW94" s="4">
        <f t="shared" si="73"/>
        <v>0</v>
      </c>
      <c r="AX94" s="4">
        <f t="shared" si="73"/>
        <v>5100</v>
      </c>
      <c r="AY94" s="4">
        <f t="shared" si="73"/>
        <v>5100</v>
      </c>
      <c r="AZ94" s="4">
        <f t="shared" si="73"/>
        <v>5100</v>
      </c>
      <c r="BA94" s="4">
        <f t="shared" si="73"/>
        <v>17588</v>
      </c>
      <c r="BB94" s="4">
        <f>+SUM(BB95:BB100)</f>
        <v>17588</v>
      </c>
      <c r="BC94" s="4">
        <f t="shared" si="73"/>
        <v>0</v>
      </c>
      <c r="BD94" s="4">
        <f t="shared" si="73"/>
        <v>0</v>
      </c>
      <c r="BE94" s="99"/>
      <c r="BF94" s="57"/>
    </row>
    <row r="95" spans="1:58" s="146" customFormat="1" ht="35.450000000000003" customHeight="1">
      <c r="A95" s="72">
        <v>1</v>
      </c>
      <c r="B95" s="158" t="s">
        <v>179</v>
      </c>
      <c r="C95" s="99"/>
      <c r="D95" s="99"/>
      <c r="E95" s="99" t="s">
        <v>180</v>
      </c>
      <c r="F95" s="99"/>
      <c r="G95" s="99" t="s">
        <v>181</v>
      </c>
      <c r="H95" s="138" t="s">
        <v>182</v>
      </c>
      <c r="I95" s="172" t="s">
        <v>183</v>
      </c>
      <c r="J95" s="173">
        <f>K95</f>
        <v>4000</v>
      </c>
      <c r="K95" s="173">
        <v>4000</v>
      </c>
      <c r="L95" s="3"/>
      <c r="M95" s="3"/>
      <c r="N95" s="3"/>
      <c r="O95" s="3"/>
      <c r="P95" s="3"/>
      <c r="Q95" s="3"/>
      <c r="R95" s="3">
        <f>S95</f>
        <v>4000</v>
      </c>
      <c r="S95" s="3">
        <v>4000</v>
      </c>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v>50</v>
      </c>
      <c r="AY95" s="3">
        <f>AZ95</f>
        <v>50</v>
      </c>
      <c r="AZ95" s="3">
        <v>50</v>
      </c>
      <c r="BA95" s="3">
        <f>+BB95</f>
        <v>3950</v>
      </c>
      <c r="BB95" s="3">
        <f>S95-AZ95</f>
        <v>3950</v>
      </c>
      <c r="BC95" s="3"/>
      <c r="BD95" s="3"/>
      <c r="BE95" s="99"/>
    </row>
    <row r="96" spans="1:58" s="146" customFormat="1" ht="37.5" customHeight="1">
      <c r="A96" s="72">
        <v>2</v>
      </c>
      <c r="B96" s="171" t="s">
        <v>184</v>
      </c>
      <c r="C96" s="99"/>
      <c r="D96" s="99"/>
      <c r="E96" s="99"/>
      <c r="F96" s="99"/>
      <c r="G96" s="99"/>
      <c r="H96" s="99" t="s">
        <v>185</v>
      </c>
      <c r="I96" s="145" t="s">
        <v>186</v>
      </c>
      <c r="J96" s="3">
        <f>+K96</f>
        <v>7000</v>
      </c>
      <c r="K96" s="3">
        <v>7000</v>
      </c>
      <c r="L96" s="3"/>
      <c r="M96" s="3"/>
      <c r="N96" s="3"/>
      <c r="O96" s="3"/>
      <c r="P96" s="3"/>
      <c r="Q96" s="3"/>
      <c r="R96" s="3">
        <f>+S96</f>
        <v>3422</v>
      </c>
      <c r="S96" s="3">
        <v>3422</v>
      </c>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f>+AU96</f>
        <v>50</v>
      </c>
      <c r="AU96" s="3">
        <v>50</v>
      </c>
      <c r="AV96" s="3"/>
      <c r="AW96" s="3"/>
      <c r="AX96" s="3">
        <f>AQ96+AU96</f>
        <v>50</v>
      </c>
      <c r="AY96" s="3">
        <f>AZ96</f>
        <v>50</v>
      </c>
      <c r="AZ96" s="3">
        <f>AS96+AU96</f>
        <v>50</v>
      </c>
      <c r="BA96" s="3">
        <f>BB96</f>
        <v>3422</v>
      </c>
      <c r="BB96" s="3">
        <v>3422</v>
      </c>
      <c r="BC96" s="3"/>
      <c r="BD96" s="3"/>
      <c r="BE96" s="99"/>
    </row>
    <row r="97" spans="1:59" ht="46.5" customHeight="1">
      <c r="A97" s="135">
        <v>3</v>
      </c>
      <c r="B97" s="158" t="s">
        <v>187</v>
      </c>
      <c r="C97" s="99"/>
      <c r="D97" s="99"/>
      <c r="E97" s="99" t="s">
        <v>188</v>
      </c>
      <c r="F97" s="137"/>
      <c r="G97" s="174"/>
      <c r="H97" s="99"/>
      <c r="I97" s="15" t="s">
        <v>189</v>
      </c>
      <c r="J97" s="3">
        <f>K97</f>
        <v>10000</v>
      </c>
      <c r="K97" s="3">
        <v>10000</v>
      </c>
      <c r="L97" s="3"/>
      <c r="M97" s="3"/>
      <c r="N97" s="3"/>
      <c r="O97" s="3"/>
      <c r="P97" s="3"/>
      <c r="Q97" s="3"/>
      <c r="R97" s="3">
        <f>10000</f>
        <v>10000</v>
      </c>
      <c r="S97" s="3">
        <v>10000</v>
      </c>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v>200</v>
      </c>
      <c r="AT97" s="3">
        <f>+AU97</f>
        <v>200</v>
      </c>
      <c r="AU97" s="3">
        <v>200</v>
      </c>
      <c r="AV97" s="3"/>
      <c r="AW97" s="3"/>
      <c r="AX97" s="3">
        <f>+AY97</f>
        <v>5000</v>
      </c>
      <c r="AY97" s="3">
        <f>+AZ97</f>
        <v>5000</v>
      </c>
      <c r="AZ97" s="3">
        <v>5000</v>
      </c>
      <c r="BA97" s="175">
        <f>+BB97</f>
        <v>5000</v>
      </c>
      <c r="BB97" s="175">
        <v>5000</v>
      </c>
      <c r="BC97" s="175"/>
      <c r="BD97" s="175"/>
      <c r="BE97" s="175"/>
    </row>
    <row r="98" spans="1:59" s="146" customFormat="1" ht="41.25" customHeight="1">
      <c r="A98" s="72">
        <v>4</v>
      </c>
      <c r="B98" s="176" t="s">
        <v>190</v>
      </c>
      <c r="C98" s="99"/>
      <c r="D98" s="99"/>
      <c r="E98" s="99"/>
      <c r="F98" s="99"/>
      <c r="G98" s="99"/>
      <c r="H98" s="99"/>
      <c r="I98" s="177" t="s">
        <v>191</v>
      </c>
      <c r="J98" s="178">
        <f>+K98</f>
        <v>2000</v>
      </c>
      <c r="K98" s="178">
        <v>2000</v>
      </c>
      <c r="L98" s="3"/>
      <c r="M98" s="3"/>
      <c r="N98" s="3"/>
      <c r="O98" s="3"/>
      <c r="P98" s="3"/>
      <c r="Q98" s="3"/>
      <c r="R98" s="3">
        <f>+S98</f>
        <v>2000</v>
      </c>
      <c r="S98" s="3">
        <v>2000</v>
      </c>
      <c r="T98" s="3"/>
      <c r="U98" s="3"/>
      <c r="V98" s="3"/>
      <c r="W98" s="3"/>
      <c r="X98" s="3"/>
      <c r="Y98" s="3"/>
      <c r="Z98" s="3"/>
      <c r="AA98" s="3"/>
      <c r="AB98" s="3"/>
      <c r="AC98" s="3"/>
      <c r="AD98" s="3"/>
      <c r="AE98" s="3"/>
      <c r="AF98" s="3"/>
      <c r="AG98" s="3"/>
      <c r="AH98" s="3"/>
      <c r="AI98" s="3"/>
      <c r="AJ98" s="3"/>
      <c r="AK98" s="3"/>
      <c r="AL98" s="3"/>
      <c r="AM98" s="3"/>
      <c r="AN98" s="3"/>
      <c r="AO98" s="3"/>
      <c r="AP98" s="3"/>
      <c r="AQ98" s="12"/>
      <c r="AR98" s="12"/>
      <c r="AS98" s="12"/>
      <c r="AT98" s="12"/>
      <c r="AU98" s="12"/>
      <c r="AV98" s="12"/>
      <c r="AW98" s="12"/>
      <c r="AX98" s="3"/>
      <c r="AY98" s="3"/>
      <c r="AZ98" s="3"/>
      <c r="BA98" s="3">
        <f>+BB98</f>
        <v>2000</v>
      </c>
      <c r="BB98" s="3">
        <v>2000</v>
      </c>
      <c r="BC98" s="3"/>
      <c r="BD98" s="3"/>
      <c r="BE98" s="99"/>
      <c r="BF98" s="57"/>
    </row>
    <row r="99" spans="1:59" s="146" customFormat="1" ht="32.25" customHeight="1">
      <c r="A99" s="72">
        <v>5</v>
      </c>
      <c r="B99" s="158" t="s">
        <v>192</v>
      </c>
      <c r="C99" s="99"/>
      <c r="D99" s="99"/>
      <c r="E99" s="99" t="s">
        <v>153</v>
      </c>
      <c r="F99" s="99"/>
      <c r="G99" s="99"/>
      <c r="H99" s="99" t="s">
        <v>185</v>
      </c>
      <c r="I99" s="172" t="s">
        <v>193</v>
      </c>
      <c r="J99" s="173">
        <f>+K99</f>
        <v>9000</v>
      </c>
      <c r="K99" s="173">
        <v>9000</v>
      </c>
      <c r="L99" s="3"/>
      <c r="M99" s="3"/>
      <c r="N99" s="3"/>
      <c r="O99" s="3"/>
      <c r="P99" s="3"/>
      <c r="Q99" s="3"/>
      <c r="R99" s="3">
        <f>+S99</f>
        <v>1500</v>
      </c>
      <c r="S99" s="3">
        <v>1500</v>
      </c>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f>+BB99</f>
        <v>1500</v>
      </c>
      <c r="BB99" s="3">
        <v>1500</v>
      </c>
      <c r="BC99" s="3"/>
      <c r="BD99" s="3"/>
      <c r="BE99" s="99"/>
    </row>
    <row r="100" spans="1:59" s="146" customFormat="1" ht="45">
      <c r="A100" s="72">
        <v>6</v>
      </c>
      <c r="B100" s="158" t="s">
        <v>194</v>
      </c>
      <c r="C100" s="99"/>
      <c r="D100" s="99"/>
      <c r="E100" s="99" t="s">
        <v>153</v>
      </c>
      <c r="F100" s="99"/>
      <c r="G100" s="99"/>
      <c r="H100" s="99" t="s">
        <v>185</v>
      </c>
      <c r="I100" s="172" t="s">
        <v>195</v>
      </c>
      <c r="J100" s="173">
        <f>+K100</f>
        <v>9000</v>
      </c>
      <c r="K100" s="173">
        <v>9000</v>
      </c>
      <c r="L100" s="3"/>
      <c r="M100" s="3"/>
      <c r="N100" s="3"/>
      <c r="O100" s="3"/>
      <c r="P100" s="3"/>
      <c r="Q100" s="3"/>
      <c r="R100" s="3">
        <f>+S100</f>
        <v>1716</v>
      </c>
      <c r="S100" s="3">
        <v>1716</v>
      </c>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f>+BB100</f>
        <v>1716</v>
      </c>
      <c r="BB100" s="3">
        <v>1716</v>
      </c>
      <c r="BC100" s="3"/>
      <c r="BD100" s="3"/>
      <c r="BE100" s="99"/>
    </row>
    <row r="101" spans="1:59" s="89" customFormat="1" ht="27.75" customHeight="1">
      <c r="A101" s="85"/>
      <c r="B101" s="86" t="s">
        <v>90</v>
      </c>
      <c r="C101" s="87"/>
      <c r="D101" s="87"/>
      <c r="E101" s="87"/>
      <c r="F101" s="87"/>
      <c r="G101" s="87"/>
      <c r="H101" s="87"/>
      <c r="I101" s="8"/>
      <c r="J101" s="4"/>
      <c r="K101" s="4"/>
      <c r="L101" s="4"/>
      <c r="M101" s="4"/>
      <c r="N101" s="4"/>
      <c r="O101" s="4"/>
      <c r="P101" s="3"/>
      <c r="Q101" s="3"/>
      <c r="R101" s="4"/>
      <c r="S101" s="4"/>
      <c r="T101" s="4"/>
      <c r="U101" s="4"/>
      <c r="V101" s="4"/>
      <c r="W101" s="4"/>
      <c r="X101" s="4"/>
      <c r="Y101" s="4"/>
      <c r="Z101" s="4"/>
      <c r="AA101" s="4"/>
      <c r="AB101" s="4">
        <v>27974</v>
      </c>
      <c r="AC101" s="4"/>
      <c r="AD101" s="4"/>
      <c r="AE101" s="4"/>
      <c r="AF101" s="4"/>
      <c r="AG101" s="4"/>
      <c r="AH101" s="4"/>
      <c r="AI101" s="4"/>
      <c r="AJ101" s="4"/>
      <c r="AK101" s="4"/>
      <c r="AL101" s="4"/>
      <c r="AM101" s="4"/>
      <c r="AN101" s="4">
        <v>29328.394138048847</v>
      </c>
      <c r="AO101" s="4"/>
      <c r="AP101" s="4"/>
      <c r="AQ101" s="22"/>
      <c r="AR101" s="22"/>
      <c r="AS101" s="22"/>
      <c r="AT101" s="22"/>
      <c r="AU101" s="22">
        <v>34671</v>
      </c>
      <c r="AV101" s="22"/>
      <c r="AW101" s="22"/>
      <c r="AX101" s="4"/>
      <c r="AY101" s="4"/>
      <c r="AZ101" s="4"/>
      <c r="BA101" s="4"/>
      <c r="BB101" s="4"/>
      <c r="BC101" s="4"/>
      <c r="BD101" s="4"/>
      <c r="BE101" s="27"/>
    </row>
    <row r="102" spans="1:59" s="115" customFormat="1" ht="28.5" customHeight="1">
      <c r="A102" s="126" t="s">
        <v>76</v>
      </c>
      <c r="B102" s="127" t="s">
        <v>196</v>
      </c>
      <c r="C102" s="87"/>
      <c r="D102" s="87"/>
      <c r="E102" s="87"/>
      <c r="F102" s="87"/>
      <c r="G102" s="92"/>
      <c r="H102" s="87"/>
      <c r="I102" s="8"/>
      <c r="J102" s="4">
        <f>J103+J113</f>
        <v>91100</v>
      </c>
      <c r="K102" s="4">
        <f t="shared" ref="K102:BD102" si="74">K103+K113</f>
        <v>86441</v>
      </c>
      <c r="L102" s="4">
        <f t="shared" si="74"/>
        <v>0</v>
      </c>
      <c r="M102" s="4">
        <f t="shared" si="74"/>
        <v>0</v>
      </c>
      <c r="N102" s="4">
        <f t="shared" si="74"/>
        <v>0</v>
      </c>
      <c r="O102" s="4">
        <f t="shared" si="74"/>
        <v>0</v>
      </c>
      <c r="P102" s="4">
        <f t="shared" si="74"/>
        <v>292.5</v>
      </c>
      <c r="Q102" s="4">
        <f t="shared" si="74"/>
        <v>292.5</v>
      </c>
      <c r="R102" s="4">
        <f t="shared" si="74"/>
        <v>83339</v>
      </c>
      <c r="S102" s="4">
        <f t="shared" si="74"/>
        <v>73165</v>
      </c>
      <c r="T102" s="4">
        <f t="shared" si="74"/>
        <v>0</v>
      </c>
      <c r="U102" s="4">
        <f t="shared" si="74"/>
        <v>0</v>
      </c>
      <c r="V102" s="4">
        <f t="shared" si="74"/>
        <v>292.5</v>
      </c>
      <c r="W102" s="4">
        <f t="shared" si="74"/>
        <v>292.5</v>
      </c>
      <c r="X102" s="4">
        <f t="shared" si="74"/>
        <v>292.5</v>
      </c>
      <c r="Y102" s="4">
        <f t="shared" si="74"/>
        <v>0</v>
      </c>
      <c r="Z102" s="4">
        <f t="shared" si="74"/>
        <v>0</v>
      </c>
      <c r="AA102" s="4">
        <f t="shared" si="74"/>
        <v>378</v>
      </c>
      <c r="AB102" s="4">
        <f t="shared" si="74"/>
        <v>378</v>
      </c>
      <c r="AC102" s="4">
        <f t="shared" si="74"/>
        <v>0</v>
      </c>
      <c r="AD102" s="4">
        <f t="shared" si="74"/>
        <v>0</v>
      </c>
      <c r="AE102" s="4">
        <f t="shared" si="74"/>
        <v>670.5</v>
      </c>
      <c r="AF102" s="4">
        <f t="shared" si="74"/>
        <v>670.5</v>
      </c>
      <c r="AG102" s="4">
        <f t="shared" si="74"/>
        <v>0</v>
      </c>
      <c r="AH102" s="4">
        <f t="shared" si="74"/>
        <v>0</v>
      </c>
      <c r="AI102" s="4">
        <f t="shared" si="74"/>
        <v>14860</v>
      </c>
      <c r="AJ102" s="4">
        <f t="shared" si="74"/>
        <v>14860</v>
      </c>
      <c r="AK102" s="4">
        <f t="shared" si="74"/>
        <v>0</v>
      </c>
      <c r="AL102" s="4">
        <f t="shared" si="74"/>
        <v>0</v>
      </c>
      <c r="AM102" s="4">
        <f t="shared" si="74"/>
        <v>15260</v>
      </c>
      <c r="AN102" s="4">
        <f t="shared" si="74"/>
        <v>15260</v>
      </c>
      <c r="AO102" s="4">
        <f t="shared" si="74"/>
        <v>0</v>
      </c>
      <c r="AP102" s="4">
        <f t="shared" si="74"/>
        <v>0</v>
      </c>
      <c r="AQ102" s="4">
        <f t="shared" si="74"/>
        <v>15552.5</v>
      </c>
      <c r="AR102" s="4">
        <f t="shared" si="74"/>
        <v>15930.5</v>
      </c>
      <c r="AS102" s="4">
        <f t="shared" si="74"/>
        <v>15930.5</v>
      </c>
      <c r="AT102" s="4">
        <f t="shared" si="74"/>
        <v>29321</v>
      </c>
      <c r="AU102" s="4">
        <f t="shared" si="74"/>
        <v>29321</v>
      </c>
      <c r="AV102" s="4">
        <f t="shared" si="74"/>
        <v>0</v>
      </c>
      <c r="AW102" s="4">
        <f t="shared" si="74"/>
        <v>0</v>
      </c>
      <c r="AX102" s="4">
        <f t="shared" si="74"/>
        <v>45251.5</v>
      </c>
      <c r="AY102" s="4">
        <f t="shared" si="74"/>
        <v>45251.5</v>
      </c>
      <c r="AZ102" s="4">
        <f t="shared" si="74"/>
        <v>45251.5</v>
      </c>
      <c r="BA102" s="4">
        <f t="shared" si="74"/>
        <v>21579</v>
      </c>
      <c r="BB102" s="4">
        <f t="shared" si="74"/>
        <v>21579</v>
      </c>
      <c r="BC102" s="4">
        <f t="shared" si="74"/>
        <v>0</v>
      </c>
      <c r="BD102" s="4">
        <f t="shared" si="74"/>
        <v>0</v>
      </c>
      <c r="BE102" s="134"/>
      <c r="BF102" s="89"/>
    </row>
    <row r="103" spans="1:59" s="89" customFormat="1" ht="33.75" customHeight="1">
      <c r="A103" s="179" t="s">
        <v>103</v>
      </c>
      <c r="B103" s="141" t="s">
        <v>104</v>
      </c>
      <c r="C103" s="180"/>
      <c r="D103" s="180"/>
      <c r="E103" s="180"/>
      <c r="F103" s="180"/>
      <c r="G103" s="180"/>
      <c r="H103" s="180"/>
      <c r="I103" s="21"/>
      <c r="J103" s="28">
        <f>J104</f>
        <v>73600</v>
      </c>
      <c r="K103" s="28">
        <f t="shared" ref="K103:BD103" si="75">K104</f>
        <v>68941</v>
      </c>
      <c r="L103" s="28">
        <f t="shared" si="75"/>
        <v>0</v>
      </c>
      <c r="M103" s="28">
        <f t="shared" si="75"/>
        <v>0</v>
      </c>
      <c r="N103" s="28">
        <f t="shared" si="75"/>
        <v>0</v>
      </c>
      <c r="O103" s="28">
        <f t="shared" si="75"/>
        <v>0</v>
      </c>
      <c r="P103" s="28">
        <f t="shared" si="75"/>
        <v>292.5</v>
      </c>
      <c r="Q103" s="28">
        <f t="shared" si="75"/>
        <v>292.5</v>
      </c>
      <c r="R103" s="28">
        <f t="shared" si="75"/>
        <v>70256</v>
      </c>
      <c r="S103" s="28">
        <f t="shared" si="75"/>
        <v>60082</v>
      </c>
      <c r="T103" s="28">
        <f t="shared" si="75"/>
        <v>0</v>
      </c>
      <c r="U103" s="28">
        <f t="shared" si="75"/>
        <v>0</v>
      </c>
      <c r="V103" s="28">
        <f t="shared" si="75"/>
        <v>292.5</v>
      </c>
      <c r="W103" s="28">
        <f t="shared" si="75"/>
        <v>292.5</v>
      </c>
      <c r="X103" s="28">
        <f t="shared" si="75"/>
        <v>292.5</v>
      </c>
      <c r="Y103" s="28">
        <f t="shared" si="75"/>
        <v>0</v>
      </c>
      <c r="Z103" s="28">
        <f t="shared" si="75"/>
        <v>0</v>
      </c>
      <c r="AA103" s="28">
        <f t="shared" si="75"/>
        <v>378</v>
      </c>
      <c r="AB103" s="28">
        <f t="shared" si="75"/>
        <v>378</v>
      </c>
      <c r="AC103" s="28">
        <f t="shared" si="75"/>
        <v>0</v>
      </c>
      <c r="AD103" s="28">
        <f t="shared" si="75"/>
        <v>0</v>
      </c>
      <c r="AE103" s="28">
        <f t="shared" si="75"/>
        <v>670.5</v>
      </c>
      <c r="AF103" s="28">
        <f t="shared" si="75"/>
        <v>670.5</v>
      </c>
      <c r="AG103" s="28">
        <f t="shared" si="75"/>
        <v>0</v>
      </c>
      <c r="AH103" s="28">
        <f t="shared" si="75"/>
        <v>0</v>
      </c>
      <c r="AI103" s="28">
        <f t="shared" si="75"/>
        <v>14860</v>
      </c>
      <c r="AJ103" s="28">
        <f t="shared" si="75"/>
        <v>14860</v>
      </c>
      <c r="AK103" s="28">
        <f t="shared" si="75"/>
        <v>0</v>
      </c>
      <c r="AL103" s="28">
        <f t="shared" si="75"/>
        <v>0</v>
      </c>
      <c r="AM103" s="28">
        <f t="shared" si="75"/>
        <v>15260</v>
      </c>
      <c r="AN103" s="28">
        <f t="shared" si="75"/>
        <v>15260</v>
      </c>
      <c r="AO103" s="28">
        <f t="shared" si="75"/>
        <v>0</v>
      </c>
      <c r="AP103" s="28">
        <f t="shared" si="75"/>
        <v>0</v>
      </c>
      <c r="AQ103" s="28">
        <f t="shared" si="75"/>
        <v>15552.5</v>
      </c>
      <c r="AR103" s="28">
        <f t="shared" si="75"/>
        <v>15930.5</v>
      </c>
      <c r="AS103" s="28">
        <f t="shared" si="75"/>
        <v>15930.5</v>
      </c>
      <c r="AT103" s="28">
        <f t="shared" si="75"/>
        <v>29321</v>
      </c>
      <c r="AU103" s="28">
        <f t="shared" si="75"/>
        <v>29321</v>
      </c>
      <c r="AV103" s="28">
        <f t="shared" si="75"/>
        <v>0</v>
      </c>
      <c r="AW103" s="28">
        <f t="shared" si="75"/>
        <v>0</v>
      </c>
      <c r="AX103" s="9">
        <f t="shared" si="75"/>
        <v>45251.5</v>
      </c>
      <c r="AY103" s="9">
        <f t="shared" si="75"/>
        <v>45251.5</v>
      </c>
      <c r="AZ103" s="9">
        <f t="shared" si="75"/>
        <v>45251.5</v>
      </c>
      <c r="BA103" s="9">
        <f t="shared" si="75"/>
        <v>12496</v>
      </c>
      <c r="BB103" s="9">
        <f t="shared" si="75"/>
        <v>12496</v>
      </c>
      <c r="BC103" s="28">
        <f t="shared" si="75"/>
        <v>0</v>
      </c>
      <c r="BD103" s="28">
        <f t="shared" si="75"/>
        <v>0</v>
      </c>
      <c r="BE103" s="118"/>
    </row>
    <row r="104" spans="1:59" s="125" customFormat="1" ht="33.75" customHeight="1">
      <c r="A104" s="142" t="s">
        <v>150</v>
      </c>
      <c r="B104" s="93" t="s">
        <v>95</v>
      </c>
      <c r="C104" s="181"/>
      <c r="D104" s="181"/>
      <c r="E104" s="181"/>
      <c r="F104" s="181"/>
      <c r="G104" s="181"/>
      <c r="H104" s="181"/>
      <c r="I104" s="17"/>
      <c r="J104" s="25">
        <f>SUM(J105:J112)</f>
        <v>73600</v>
      </c>
      <c r="K104" s="25">
        <f t="shared" ref="K104:BD104" si="76">SUM(K105:K112)</f>
        <v>68941</v>
      </c>
      <c r="L104" s="25">
        <f t="shared" si="76"/>
        <v>0</v>
      </c>
      <c r="M104" s="25">
        <f t="shared" si="76"/>
        <v>0</v>
      </c>
      <c r="N104" s="25">
        <f t="shared" si="76"/>
        <v>0</v>
      </c>
      <c r="O104" s="25">
        <f t="shared" si="76"/>
        <v>0</v>
      </c>
      <c r="P104" s="25">
        <f t="shared" si="76"/>
        <v>292.5</v>
      </c>
      <c r="Q104" s="25">
        <f t="shared" si="76"/>
        <v>292.5</v>
      </c>
      <c r="R104" s="25">
        <f t="shared" si="76"/>
        <v>70256</v>
      </c>
      <c r="S104" s="25">
        <f t="shared" si="76"/>
        <v>60082</v>
      </c>
      <c r="T104" s="25">
        <f t="shared" si="76"/>
        <v>0</v>
      </c>
      <c r="U104" s="25">
        <f t="shared" si="76"/>
        <v>0</v>
      </c>
      <c r="V104" s="25">
        <f t="shared" si="76"/>
        <v>292.5</v>
      </c>
      <c r="W104" s="25">
        <f t="shared" si="76"/>
        <v>292.5</v>
      </c>
      <c r="X104" s="25">
        <f t="shared" si="76"/>
        <v>292.5</v>
      </c>
      <c r="Y104" s="25">
        <f t="shared" si="76"/>
        <v>0</v>
      </c>
      <c r="Z104" s="25">
        <f t="shared" si="76"/>
        <v>0</v>
      </c>
      <c r="AA104" s="25">
        <f t="shared" si="76"/>
        <v>378</v>
      </c>
      <c r="AB104" s="25">
        <f t="shared" si="76"/>
        <v>378</v>
      </c>
      <c r="AC104" s="25">
        <f t="shared" si="76"/>
        <v>0</v>
      </c>
      <c r="AD104" s="25">
        <f t="shared" si="76"/>
        <v>0</v>
      </c>
      <c r="AE104" s="25">
        <f t="shared" si="76"/>
        <v>670.5</v>
      </c>
      <c r="AF104" s="25">
        <f t="shared" si="76"/>
        <v>670.5</v>
      </c>
      <c r="AG104" s="25">
        <f t="shared" si="76"/>
        <v>0</v>
      </c>
      <c r="AH104" s="25">
        <f t="shared" si="76"/>
        <v>0</v>
      </c>
      <c r="AI104" s="25">
        <f t="shared" si="76"/>
        <v>14860</v>
      </c>
      <c r="AJ104" s="25">
        <f t="shared" si="76"/>
        <v>14860</v>
      </c>
      <c r="AK104" s="25">
        <f t="shared" si="76"/>
        <v>0</v>
      </c>
      <c r="AL104" s="25">
        <f t="shared" si="76"/>
        <v>0</v>
      </c>
      <c r="AM104" s="25">
        <f t="shared" si="76"/>
        <v>15260</v>
      </c>
      <c r="AN104" s="25">
        <f t="shared" si="76"/>
        <v>15260</v>
      </c>
      <c r="AO104" s="25">
        <f t="shared" si="76"/>
        <v>0</v>
      </c>
      <c r="AP104" s="25">
        <f t="shared" si="76"/>
        <v>0</v>
      </c>
      <c r="AQ104" s="25">
        <f t="shared" si="76"/>
        <v>15552.5</v>
      </c>
      <c r="AR104" s="25">
        <f t="shared" si="76"/>
        <v>15930.5</v>
      </c>
      <c r="AS104" s="25">
        <f t="shared" si="76"/>
        <v>15930.5</v>
      </c>
      <c r="AT104" s="25">
        <f t="shared" si="76"/>
        <v>29321</v>
      </c>
      <c r="AU104" s="25">
        <f t="shared" si="76"/>
        <v>29321</v>
      </c>
      <c r="AV104" s="25">
        <f t="shared" si="76"/>
        <v>0</v>
      </c>
      <c r="AW104" s="25">
        <f t="shared" si="76"/>
        <v>0</v>
      </c>
      <c r="AX104" s="25">
        <f t="shared" si="76"/>
        <v>45251.5</v>
      </c>
      <c r="AY104" s="25">
        <f t="shared" si="76"/>
        <v>45251.5</v>
      </c>
      <c r="AZ104" s="25">
        <f t="shared" si="76"/>
        <v>45251.5</v>
      </c>
      <c r="BA104" s="25">
        <f t="shared" si="76"/>
        <v>12496</v>
      </c>
      <c r="BB104" s="25">
        <f>SUM(BB105:BB112)</f>
        <v>12496</v>
      </c>
      <c r="BC104" s="25">
        <f t="shared" si="76"/>
        <v>0</v>
      </c>
      <c r="BD104" s="25">
        <f t="shared" si="76"/>
        <v>0</v>
      </c>
      <c r="BE104" s="121"/>
    </row>
    <row r="105" spans="1:59" s="146" customFormat="1" ht="42.75" customHeight="1">
      <c r="A105" s="155">
        <v>1</v>
      </c>
      <c r="B105" s="182" t="s">
        <v>197</v>
      </c>
      <c r="C105" s="172" t="s">
        <v>198</v>
      </c>
      <c r="D105" s="172"/>
      <c r="E105" s="139" t="s">
        <v>199</v>
      </c>
      <c r="F105" s="172"/>
      <c r="G105" s="99"/>
      <c r="H105" s="138" t="s">
        <v>200</v>
      </c>
      <c r="I105" s="2" t="s">
        <v>201</v>
      </c>
      <c r="J105" s="3">
        <v>21000</v>
      </c>
      <c r="K105" s="3">
        <v>21000</v>
      </c>
      <c r="L105" s="3"/>
      <c r="M105" s="3"/>
      <c r="N105" s="3"/>
      <c r="O105" s="3"/>
      <c r="P105" s="3">
        <f t="shared" ref="P105:Q108" si="77">L105+W105</f>
        <v>0</v>
      </c>
      <c r="Q105" s="3">
        <f t="shared" si="77"/>
        <v>0</v>
      </c>
      <c r="R105" s="3">
        <f t="shared" ref="R105:R108" si="78">S105</f>
        <v>18906</v>
      </c>
      <c r="S105" s="3">
        <v>18906</v>
      </c>
      <c r="T105" s="3"/>
      <c r="U105" s="3"/>
      <c r="V105" s="3"/>
      <c r="W105" s="3"/>
      <c r="X105" s="3"/>
      <c r="Y105" s="3"/>
      <c r="Z105" s="3"/>
      <c r="AA105" s="3">
        <v>378</v>
      </c>
      <c r="AB105" s="3">
        <v>378</v>
      </c>
      <c r="AC105" s="16"/>
      <c r="AD105" s="3"/>
      <c r="AE105" s="3">
        <f t="shared" ref="AE105:AF108" si="79">W105+AA105</f>
        <v>378</v>
      </c>
      <c r="AF105" s="3">
        <f t="shared" si="79"/>
        <v>378</v>
      </c>
      <c r="AG105" s="3"/>
      <c r="AH105" s="3"/>
      <c r="AI105" s="3">
        <f t="shared" ref="AI105:AK108" si="80">AM105</f>
        <v>6500</v>
      </c>
      <c r="AJ105" s="3">
        <f t="shared" si="80"/>
        <v>6500</v>
      </c>
      <c r="AK105" s="3">
        <f t="shared" si="80"/>
        <v>0</v>
      </c>
      <c r="AL105" s="3"/>
      <c r="AM105" s="29">
        <f t="shared" ref="AM105:AM108" si="81">AN105</f>
        <v>6500</v>
      </c>
      <c r="AN105" s="3">
        <v>6500</v>
      </c>
      <c r="AO105" s="3"/>
      <c r="AP105" s="3"/>
      <c r="AQ105" s="3">
        <f>V105+AN105</f>
        <v>6500</v>
      </c>
      <c r="AR105" s="3">
        <f t="shared" ref="AR105:AR108" si="82">AS105</f>
        <v>6878</v>
      </c>
      <c r="AS105" s="3">
        <f t="shared" ref="AS105:AS108" si="83">AF105+AN105</f>
        <v>6878</v>
      </c>
      <c r="AT105" s="3">
        <f t="shared" ref="AT105:AT108" si="84">AU105</f>
        <v>7500</v>
      </c>
      <c r="AU105" s="3">
        <v>7500</v>
      </c>
      <c r="AV105" s="3"/>
      <c r="AW105" s="3"/>
      <c r="AX105" s="3">
        <f>+AZ105</f>
        <v>14378</v>
      </c>
      <c r="AY105" s="3">
        <f>AZ105</f>
        <v>14378</v>
      </c>
      <c r="AZ105" s="3">
        <f>AS105+AU105</f>
        <v>14378</v>
      </c>
      <c r="BA105" s="3">
        <f>BB105</f>
        <v>0</v>
      </c>
      <c r="BB105" s="3"/>
      <c r="BC105" s="3"/>
      <c r="BD105" s="3"/>
      <c r="BE105" s="145" t="s">
        <v>202</v>
      </c>
      <c r="BF105" s="146">
        <f>AU105</f>
        <v>7500</v>
      </c>
      <c r="BG105" s="30"/>
    </row>
    <row r="106" spans="1:59" s="64" customFormat="1" ht="42.75" hidden="1" customHeight="1">
      <c r="A106" s="155">
        <v>2</v>
      </c>
      <c r="B106" s="136" t="s">
        <v>203</v>
      </c>
      <c r="C106" s="172" t="s">
        <v>198</v>
      </c>
      <c r="D106" s="172"/>
      <c r="E106" s="139" t="s">
        <v>199</v>
      </c>
      <c r="F106" s="172"/>
      <c r="G106" s="149"/>
      <c r="H106" s="138" t="s">
        <v>125</v>
      </c>
      <c r="I106" s="15" t="s">
        <v>204</v>
      </c>
      <c r="J106" s="3">
        <v>7300</v>
      </c>
      <c r="K106" s="3">
        <v>7300</v>
      </c>
      <c r="L106" s="3"/>
      <c r="M106" s="3"/>
      <c r="N106" s="3"/>
      <c r="O106" s="3"/>
      <c r="P106" s="3">
        <f t="shared" si="77"/>
        <v>97.5</v>
      </c>
      <c r="Q106" s="3">
        <f t="shared" si="77"/>
        <v>97.5</v>
      </c>
      <c r="R106" s="3">
        <f t="shared" si="78"/>
        <v>7145</v>
      </c>
      <c r="S106" s="3">
        <v>7145</v>
      </c>
      <c r="T106" s="3"/>
      <c r="U106" s="3"/>
      <c r="V106" s="3">
        <f>W106</f>
        <v>97.5</v>
      </c>
      <c r="W106" s="3">
        <v>97.5</v>
      </c>
      <c r="X106" s="3">
        <v>97.5</v>
      </c>
      <c r="Y106" s="3"/>
      <c r="Z106" s="3"/>
      <c r="AA106" s="3"/>
      <c r="AB106" s="3"/>
      <c r="AC106" s="16"/>
      <c r="AD106" s="3"/>
      <c r="AE106" s="3">
        <f t="shared" si="79"/>
        <v>97.5</v>
      </c>
      <c r="AF106" s="3">
        <f t="shared" si="79"/>
        <v>97.5</v>
      </c>
      <c r="AG106" s="3"/>
      <c r="AH106" s="3"/>
      <c r="AI106" s="3">
        <f>AJ106</f>
        <v>2500</v>
      </c>
      <c r="AJ106" s="3">
        <v>2500</v>
      </c>
      <c r="AK106" s="3">
        <f t="shared" si="80"/>
        <v>0</v>
      </c>
      <c r="AL106" s="3"/>
      <c r="AM106" s="3">
        <f t="shared" si="81"/>
        <v>2800</v>
      </c>
      <c r="AN106" s="3">
        <v>2800</v>
      </c>
      <c r="AO106" s="3"/>
      <c r="AP106" s="3" t="s">
        <v>54</v>
      </c>
      <c r="AQ106" s="12">
        <f>V106+AN106</f>
        <v>2897.5</v>
      </c>
      <c r="AR106" s="12">
        <f t="shared" si="82"/>
        <v>2897.5</v>
      </c>
      <c r="AS106" s="12">
        <f t="shared" si="83"/>
        <v>2897.5</v>
      </c>
      <c r="AT106" s="12">
        <f t="shared" si="84"/>
        <v>4193</v>
      </c>
      <c r="AU106" s="12">
        <f>4000+193</f>
        <v>4193</v>
      </c>
      <c r="AV106" s="12"/>
      <c r="AW106" s="12"/>
      <c r="AX106" s="3">
        <f t="shared" ref="AX106:AX112" si="85">AQ106+AU106</f>
        <v>7090.5</v>
      </c>
      <c r="AY106" s="3">
        <f t="shared" ref="AY106:AY112" si="86">AZ106</f>
        <v>7090.5</v>
      </c>
      <c r="AZ106" s="3">
        <f t="shared" ref="AZ106:AZ112" si="87">AS106+AU106</f>
        <v>7090.5</v>
      </c>
      <c r="BA106" s="3">
        <f t="shared" ref="BA106:BA112" si="88">BB106</f>
        <v>0</v>
      </c>
      <c r="BB106" s="3"/>
      <c r="BC106" s="3"/>
      <c r="BD106" s="3"/>
      <c r="BE106" s="145" t="s">
        <v>205</v>
      </c>
      <c r="BF106" s="111"/>
    </row>
    <row r="107" spans="1:59" s="64" customFormat="1" ht="44.45" customHeight="1">
      <c r="A107" s="155">
        <v>2</v>
      </c>
      <c r="B107" s="136" t="s">
        <v>206</v>
      </c>
      <c r="C107" s="172" t="s">
        <v>198</v>
      </c>
      <c r="D107" s="172"/>
      <c r="E107" s="139" t="s">
        <v>199</v>
      </c>
      <c r="F107" s="172"/>
      <c r="G107" s="149"/>
      <c r="H107" s="138" t="s">
        <v>125</v>
      </c>
      <c r="I107" s="15" t="s">
        <v>207</v>
      </c>
      <c r="J107" s="3">
        <v>7500</v>
      </c>
      <c r="K107" s="3">
        <v>7500</v>
      </c>
      <c r="L107" s="3"/>
      <c r="M107" s="3"/>
      <c r="N107" s="3"/>
      <c r="O107" s="3"/>
      <c r="P107" s="3">
        <f t="shared" si="77"/>
        <v>97.5</v>
      </c>
      <c r="Q107" s="3">
        <f t="shared" si="77"/>
        <v>97.5</v>
      </c>
      <c r="R107" s="3">
        <f t="shared" si="78"/>
        <v>7440</v>
      </c>
      <c r="S107" s="3">
        <v>7440</v>
      </c>
      <c r="T107" s="3"/>
      <c r="U107" s="3"/>
      <c r="V107" s="3">
        <f t="shared" ref="V107:V108" si="89">W107</f>
        <v>97.5</v>
      </c>
      <c r="W107" s="3">
        <v>97.5</v>
      </c>
      <c r="X107" s="3">
        <v>97.5</v>
      </c>
      <c r="Y107" s="3"/>
      <c r="Z107" s="3"/>
      <c r="AA107" s="3"/>
      <c r="AB107" s="3"/>
      <c r="AC107" s="3"/>
      <c r="AD107" s="3"/>
      <c r="AE107" s="3">
        <f t="shared" si="79"/>
        <v>97.5</v>
      </c>
      <c r="AF107" s="3">
        <f t="shared" si="79"/>
        <v>97.5</v>
      </c>
      <c r="AG107" s="3"/>
      <c r="AH107" s="3"/>
      <c r="AI107" s="3">
        <f t="shared" si="80"/>
        <v>2800</v>
      </c>
      <c r="AJ107" s="3">
        <f t="shared" si="80"/>
        <v>2800</v>
      </c>
      <c r="AK107" s="3">
        <f t="shared" si="80"/>
        <v>0</v>
      </c>
      <c r="AL107" s="3"/>
      <c r="AM107" s="3">
        <f t="shared" si="81"/>
        <v>2800</v>
      </c>
      <c r="AN107" s="3">
        <v>2800</v>
      </c>
      <c r="AO107" s="3"/>
      <c r="AP107" s="3"/>
      <c r="AQ107" s="12">
        <f>V107+AN107</f>
        <v>2897.5</v>
      </c>
      <c r="AR107" s="12">
        <f t="shared" si="82"/>
        <v>2897.5</v>
      </c>
      <c r="AS107" s="12">
        <f t="shared" si="83"/>
        <v>2897.5</v>
      </c>
      <c r="AT107" s="12">
        <f t="shared" si="84"/>
        <v>4000</v>
      </c>
      <c r="AU107" s="12">
        <f>2500+1500</f>
        <v>4000</v>
      </c>
      <c r="AV107" s="12"/>
      <c r="AW107" s="12"/>
      <c r="AX107" s="3">
        <f t="shared" si="85"/>
        <v>6897.5</v>
      </c>
      <c r="AY107" s="3">
        <f t="shared" si="86"/>
        <v>6897.5</v>
      </c>
      <c r="AZ107" s="3">
        <f t="shared" si="87"/>
        <v>6897.5</v>
      </c>
      <c r="BA107" s="3">
        <f t="shared" si="88"/>
        <v>516.5</v>
      </c>
      <c r="BB107" s="3">
        <f>S107-AZ107-26</f>
        <v>516.5</v>
      </c>
      <c r="BC107" s="3"/>
      <c r="BD107" s="3"/>
      <c r="BE107" s="145" t="s">
        <v>156</v>
      </c>
      <c r="BF107" s="111"/>
    </row>
    <row r="108" spans="1:59" s="64" customFormat="1" ht="38.25" customHeight="1">
      <c r="A108" s="155">
        <v>3</v>
      </c>
      <c r="B108" s="136" t="s">
        <v>208</v>
      </c>
      <c r="C108" s="172" t="s">
        <v>198</v>
      </c>
      <c r="D108" s="172"/>
      <c r="E108" s="139" t="s">
        <v>199</v>
      </c>
      <c r="F108" s="172"/>
      <c r="G108" s="149"/>
      <c r="H108" s="138" t="s">
        <v>125</v>
      </c>
      <c r="I108" s="15" t="s">
        <v>209</v>
      </c>
      <c r="J108" s="3">
        <v>7300</v>
      </c>
      <c r="K108" s="3">
        <v>7300</v>
      </c>
      <c r="L108" s="3"/>
      <c r="M108" s="3"/>
      <c r="N108" s="3"/>
      <c r="O108" s="3"/>
      <c r="P108" s="3">
        <f t="shared" si="77"/>
        <v>97.5</v>
      </c>
      <c r="Q108" s="3">
        <f t="shared" si="77"/>
        <v>97.5</v>
      </c>
      <c r="R108" s="3">
        <f t="shared" si="78"/>
        <v>6649</v>
      </c>
      <c r="S108" s="3">
        <v>6649</v>
      </c>
      <c r="T108" s="3"/>
      <c r="U108" s="3"/>
      <c r="V108" s="3">
        <f t="shared" si="89"/>
        <v>97.5</v>
      </c>
      <c r="W108" s="3">
        <v>97.5</v>
      </c>
      <c r="X108" s="3">
        <v>97.5</v>
      </c>
      <c r="Y108" s="3"/>
      <c r="Z108" s="3"/>
      <c r="AA108" s="3"/>
      <c r="AB108" s="3"/>
      <c r="AC108" s="3"/>
      <c r="AD108" s="3"/>
      <c r="AE108" s="3">
        <f t="shared" si="79"/>
        <v>97.5</v>
      </c>
      <c r="AF108" s="3">
        <f t="shared" si="79"/>
        <v>97.5</v>
      </c>
      <c r="AG108" s="3"/>
      <c r="AH108" s="3"/>
      <c r="AI108" s="3">
        <f t="shared" si="80"/>
        <v>2800</v>
      </c>
      <c r="AJ108" s="3">
        <f t="shared" si="80"/>
        <v>2800</v>
      </c>
      <c r="AK108" s="3">
        <f t="shared" si="80"/>
        <v>0</v>
      </c>
      <c r="AL108" s="3"/>
      <c r="AM108" s="3">
        <f t="shared" si="81"/>
        <v>2800</v>
      </c>
      <c r="AN108" s="3">
        <v>2800</v>
      </c>
      <c r="AO108" s="3"/>
      <c r="AP108" s="3"/>
      <c r="AQ108" s="12">
        <f>V108+AN108</f>
        <v>2897.5</v>
      </c>
      <c r="AR108" s="12">
        <f t="shared" si="82"/>
        <v>2897.5</v>
      </c>
      <c r="AS108" s="12">
        <f t="shared" si="83"/>
        <v>2897.5</v>
      </c>
      <c r="AT108" s="12">
        <f t="shared" si="84"/>
        <v>3194</v>
      </c>
      <c r="AU108" s="12">
        <f>2500+694</f>
        <v>3194</v>
      </c>
      <c r="AV108" s="12"/>
      <c r="AW108" s="12"/>
      <c r="AX108" s="3">
        <f t="shared" si="85"/>
        <v>6091.5</v>
      </c>
      <c r="AY108" s="3">
        <f t="shared" si="86"/>
        <v>6091.5</v>
      </c>
      <c r="AZ108" s="3">
        <f t="shared" si="87"/>
        <v>6091.5</v>
      </c>
      <c r="BA108" s="3">
        <f t="shared" si="88"/>
        <v>557.5</v>
      </c>
      <c r="BB108" s="3">
        <f>S108-AZ108</f>
        <v>557.5</v>
      </c>
      <c r="BC108" s="3"/>
      <c r="BD108" s="3"/>
      <c r="BE108" s="145" t="s">
        <v>156</v>
      </c>
      <c r="BF108" s="111"/>
    </row>
    <row r="109" spans="1:59" s="125" customFormat="1" ht="42" customHeight="1">
      <c r="A109" s="183" t="s">
        <v>603</v>
      </c>
      <c r="B109" s="184" t="s">
        <v>210</v>
      </c>
      <c r="C109" s="185"/>
      <c r="D109" s="185"/>
      <c r="E109" s="139" t="s">
        <v>199</v>
      </c>
      <c r="F109" s="185"/>
      <c r="G109" s="99" t="s">
        <v>211</v>
      </c>
      <c r="H109" s="99" t="s">
        <v>125</v>
      </c>
      <c r="I109" s="145" t="s">
        <v>212</v>
      </c>
      <c r="J109" s="12">
        <f>K109</f>
        <v>6500</v>
      </c>
      <c r="K109" s="12">
        <v>6500</v>
      </c>
      <c r="L109" s="22"/>
      <c r="M109" s="22"/>
      <c r="N109" s="22"/>
      <c r="O109" s="22"/>
      <c r="P109" s="22"/>
      <c r="Q109" s="22"/>
      <c r="R109" s="12">
        <f>S109</f>
        <v>6405</v>
      </c>
      <c r="S109" s="12">
        <v>6405</v>
      </c>
      <c r="T109" s="22"/>
      <c r="U109" s="22"/>
      <c r="V109" s="4"/>
      <c r="W109" s="4"/>
      <c r="X109" s="4"/>
      <c r="Y109" s="4"/>
      <c r="Z109" s="4"/>
      <c r="AA109" s="4"/>
      <c r="AB109" s="4"/>
      <c r="AC109" s="4"/>
      <c r="AD109" s="4"/>
      <c r="AE109" s="4"/>
      <c r="AF109" s="4"/>
      <c r="AG109" s="4"/>
      <c r="AH109" s="4"/>
      <c r="AI109" s="4"/>
      <c r="AJ109" s="4"/>
      <c r="AK109" s="4"/>
      <c r="AL109" s="4"/>
      <c r="AM109" s="3">
        <f>AN109</f>
        <v>100</v>
      </c>
      <c r="AN109" s="3">
        <v>100</v>
      </c>
      <c r="AO109" s="4"/>
      <c r="AP109" s="4"/>
      <c r="AQ109" s="12">
        <v>100</v>
      </c>
      <c r="AR109" s="12">
        <f>+AS109</f>
        <v>100</v>
      </c>
      <c r="AS109" s="12">
        <v>100</v>
      </c>
      <c r="AT109" s="12">
        <f>AU109</f>
        <v>2900</v>
      </c>
      <c r="AU109" s="12">
        <v>2900</v>
      </c>
      <c r="AV109" s="12"/>
      <c r="AW109" s="12"/>
      <c r="AX109" s="3">
        <f t="shared" si="85"/>
        <v>3000</v>
      </c>
      <c r="AY109" s="3">
        <f t="shared" si="86"/>
        <v>3000</v>
      </c>
      <c r="AZ109" s="3">
        <f t="shared" si="87"/>
        <v>3000</v>
      </c>
      <c r="BA109" s="3">
        <f t="shared" si="88"/>
        <v>3405</v>
      </c>
      <c r="BB109" s="3">
        <f t="shared" ref="BB109:BB112" si="90">S109-AZ109</f>
        <v>3405</v>
      </c>
      <c r="BC109" s="3"/>
      <c r="BD109" s="3"/>
      <c r="BE109" s="145" t="s">
        <v>156</v>
      </c>
      <c r="BF109" s="125">
        <f>AU109</f>
        <v>2900</v>
      </c>
    </row>
    <row r="110" spans="1:59" s="64" customFormat="1" ht="39.200000000000003" customHeight="1">
      <c r="A110" s="155">
        <v>4</v>
      </c>
      <c r="B110" s="182" t="s">
        <v>213</v>
      </c>
      <c r="C110" s="172"/>
      <c r="D110" s="172"/>
      <c r="E110" s="139" t="s">
        <v>199</v>
      </c>
      <c r="F110" s="172"/>
      <c r="G110" s="99" t="s">
        <v>214</v>
      </c>
      <c r="H110" s="99" t="s">
        <v>215</v>
      </c>
      <c r="I110" s="145" t="s">
        <v>216</v>
      </c>
      <c r="J110" s="3">
        <f>+K110</f>
        <v>8000</v>
      </c>
      <c r="K110" s="3">
        <v>8000</v>
      </c>
      <c r="L110" s="3"/>
      <c r="M110" s="3"/>
      <c r="N110" s="3"/>
      <c r="O110" s="3"/>
      <c r="P110" s="3">
        <f t="shared" ref="P110:Q112" si="91">L110+W110</f>
        <v>0</v>
      </c>
      <c r="Q110" s="3">
        <f t="shared" si="91"/>
        <v>0</v>
      </c>
      <c r="R110" s="3">
        <f>+S110</f>
        <v>7711</v>
      </c>
      <c r="S110" s="3">
        <v>7711</v>
      </c>
      <c r="T110" s="3"/>
      <c r="U110" s="3"/>
      <c r="V110" s="3"/>
      <c r="W110" s="3"/>
      <c r="X110" s="3"/>
      <c r="Y110" s="3"/>
      <c r="Z110" s="3"/>
      <c r="AA110" s="3"/>
      <c r="AB110" s="3"/>
      <c r="AC110" s="3"/>
      <c r="AD110" s="3"/>
      <c r="AE110" s="3">
        <f t="shared" ref="AE110:AF112" si="92">W110+AA110</f>
        <v>0</v>
      </c>
      <c r="AF110" s="3">
        <f t="shared" si="92"/>
        <v>0</v>
      </c>
      <c r="AG110" s="3"/>
      <c r="AH110" s="3"/>
      <c r="AI110" s="3">
        <f>AJ110</f>
        <v>100</v>
      </c>
      <c r="AJ110" s="3">
        <v>100</v>
      </c>
      <c r="AK110" s="3">
        <f t="shared" ref="AK110:AK111" si="93">AO110</f>
        <v>0</v>
      </c>
      <c r="AL110" s="3"/>
      <c r="AM110" s="3">
        <f>AN110</f>
        <v>100</v>
      </c>
      <c r="AN110" s="3">
        <v>100</v>
      </c>
      <c r="AO110" s="3"/>
      <c r="AP110" s="3"/>
      <c r="AQ110" s="12">
        <v>100</v>
      </c>
      <c r="AR110" s="12">
        <f t="shared" ref="AR110:AR112" si="94">+AS110</f>
        <v>100</v>
      </c>
      <c r="AS110" s="12">
        <v>100</v>
      </c>
      <c r="AT110" s="12">
        <f>AU110</f>
        <v>3034</v>
      </c>
      <c r="AU110" s="12">
        <v>3034</v>
      </c>
      <c r="AV110" s="12"/>
      <c r="AW110" s="12"/>
      <c r="AX110" s="3">
        <f t="shared" si="85"/>
        <v>3134</v>
      </c>
      <c r="AY110" s="3">
        <f t="shared" si="86"/>
        <v>3134</v>
      </c>
      <c r="AZ110" s="3">
        <f t="shared" si="87"/>
        <v>3134</v>
      </c>
      <c r="BA110" s="3">
        <f t="shared" si="88"/>
        <v>4577</v>
      </c>
      <c r="BB110" s="3">
        <f t="shared" si="90"/>
        <v>4577</v>
      </c>
      <c r="BC110" s="3"/>
      <c r="BD110" s="3"/>
      <c r="BE110" s="145" t="s">
        <v>156</v>
      </c>
      <c r="BF110" s="111">
        <f>AU110</f>
        <v>3034</v>
      </c>
    </row>
    <row r="111" spans="1:59" s="146" customFormat="1" ht="42.95" customHeight="1">
      <c r="A111" s="183" t="s">
        <v>454</v>
      </c>
      <c r="B111" s="187" t="s">
        <v>217</v>
      </c>
      <c r="C111" s="172" t="s">
        <v>198</v>
      </c>
      <c r="D111" s="172"/>
      <c r="E111" s="139" t="s">
        <v>199</v>
      </c>
      <c r="F111" s="172"/>
      <c r="G111" s="99" t="s">
        <v>218</v>
      </c>
      <c r="H111" s="99"/>
      <c r="I111" s="145" t="s">
        <v>219</v>
      </c>
      <c r="J111" s="3">
        <v>11000</v>
      </c>
      <c r="K111" s="3">
        <v>6341</v>
      </c>
      <c r="L111" s="3"/>
      <c r="M111" s="3"/>
      <c r="N111" s="3"/>
      <c r="O111" s="3"/>
      <c r="P111" s="3">
        <f t="shared" si="91"/>
        <v>0</v>
      </c>
      <c r="Q111" s="3">
        <f t="shared" si="91"/>
        <v>0</v>
      </c>
      <c r="R111" s="16">
        <v>11000</v>
      </c>
      <c r="S111" s="16">
        <v>826</v>
      </c>
      <c r="T111" s="3"/>
      <c r="U111" s="3"/>
      <c r="V111" s="3"/>
      <c r="W111" s="3"/>
      <c r="X111" s="3"/>
      <c r="Y111" s="3"/>
      <c r="Z111" s="3"/>
      <c r="AA111" s="3"/>
      <c r="AB111" s="3"/>
      <c r="AC111" s="3"/>
      <c r="AD111" s="3"/>
      <c r="AE111" s="3">
        <f t="shared" si="92"/>
        <v>0</v>
      </c>
      <c r="AF111" s="3">
        <f t="shared" si="92"/>
        <v>0</v>
      </c>
      <c r="AG111" s="3"/>
      <c r="AH111" s="3"/>
      <c r="AI111" s="3">
        <f>AJ111</f>
        <v>100</v>
      </c>
      <c r="AJ111" s="3">
        <f>AN111</f>
        <v>100</v>
      </c>
      <c r="AK111" s="3">
        <f t="shared" si="93"/>
        <v>0</v>
      </c>
      <c r="AL111" s="3"/>
      <c r="AM111" s="3">
        <f>AN111</f>
        <v>100</v>
      </c>
      <c r="AN111" s="3">
        <v>100</v>
      </c>
      <c r="AO111" s="3"/>
      <c r="AP111" s="3"/>
      <c r="AQ111" s="12">
        <v>100</v>
      </c>
      <c r="AR111" s="12">
        <f t="shared" si="94"/>
        <v>100</v>
      </c>
      <c r="AS111" s="12">
        <v>100</v>
      </c>
      <c r="AT111" s="12">
        <f>AU111</f>
        <v>3000</v>
      </c>
      <c r="AU111" s="12">
        <v>3000</v>
      </c>
      <c r="AV111" s="12"/>
      <c r="AW111" s="12"/>
      <c r="AX111" s="3">
        <f t="shared" si="85"/>
        <v>3100</v>
      </c>
      <c r="AY111" s="3">
        <f t="shared" si="86"/>
        <v>3100</v>
      </c>
      <c r="AZ111" s="3">
        <f t="shared" si="87"/>
        <v>3100</v>
      </c>
      <c r="BA111" s="3">
        <f t="shared" si="88"/>
        <v>0</v>
      </c>
      <c r="BB111" s="3"/>
      <c r="BC111" s="3"/>
      <c r="BD111" s="3"/>
      <c r="BE111" s="145" t="s">
        <v>220</v>
      </c>
      <c r="BF111" s="57"/>
    </row>
    <row r="112" spans="1:59" s="146" customFormat="1" ht="38.1" customHeight="1">
      <c r="A112" s="155">
        <v>5</v>
      </c>
      <c r="B112" s="182" t="s">
        <v>221</v>
      </c>
      <c r="C112" s="172" t="s">
        <v>198</v>
      </c>
      <c r="D112" s="172"/>
      <c r="E112" s="139" t="s">
        <v>199</v>
      </c>
      <c r="F112" s="172"/>
      <c r="G112" s="99"/>
      <c r="H112" s="99"/>
      <c r="I112" s="145" t="s">
        <v>222</v>
      </c>
      <c r="J112" s="3">
        <f>+K112</f>
        <v>5000</v>
      </c>
      <c r="K112" s="3">
        <v>5000</v>
      </c>
      <c r="L112" s="3"/>
      <c r="M112" s="3"/>
      <c r="N112" s="3"/>
      <c r="O112" s="3"/>
      <c r="P112" s="3">
        <f t="shared" si="91"/>
        <v>0</v>
      </c>
      <c r="Q112" s="3">
        <f t="shared" si="91"/>
        <v>0</v>
      </c>
      <c r="R112" s="3">
        <v>5000</v>
      </c>
      <c r="S112" s="3">
        <v>5000</v>
      </c>
      <c r="T112" s="3"/>
      <c r="U112" s="3"/>
      <c r="V112" s="3"/>
      <c r="W112" s="3"/>
      <c r="X112" s="3"/>
      <c r="Y112" s="3"/>
      <c r="Z112" s="3"/>
      <c r="AA112" s="3"/>
      <c r="AB112" s="3"/>
      <c r="AC112" s="3"/>
      <c r="AD112" s="3"/>
      <c r="AE112" s="3">
        <f t="shared" si="92"/>
        <v>0</v>
      </c>
      <c r="AF112" s="3">
        <f t="shared" si="92"/>
        <v>0</v>
      </c>
      <c r="AG112" s="3"/>
      <c r="AH112" s="3"/>
      <c r="AI112" s="3">
        <f>AM112</f>
        <v>60</v>
      </c>
      <c r="AJ112" s="3">
        <f>AN112</f>
        <v>60</v>
      </c>
      <c r="AK112" s="3">
        <f>AO112</f>
        <v>0</v>
      </c>
      <c r="AL112" s="3">
        <f>AP112</f>
        <v>0</v>
      </c>
      <c r="AM112" s="3">
        <f>AN112</f>
        <v>60</v>
      </c>
      <c r="AN112" s="3">
        <v>60</v>
      </c>
      <c r="AO112" s="3"/>
      <c r="AP112" s="3"/>
      <c r="AQ112" s="12">
        <v>60</v>
      </c>
      <c r="AR112" s="12">
        <f t="shared" si="94"/>
        <v>60</v>
      </c>
      <c r="AS112" s="12">
        <v>60</v>
      </c>
      <c r="AT112" s="12">
        <f>AU112</f>
        <v>1500</v>
      </c>
      <c r="AU112" s="12">
        <v>1500</v>
      </c>
      <c r="AV112" s="12"/>
      <c r="AW112" s="12"/>
      <c r="AX112" s="3">
        <f t="shared" si="85"/>
        <v>1560</v>
      </c>
      <c r="AY112" s="3">
        <f t="shared" si="86"/>
        <v>1560</v>
      </c>
      <c r="AZ112" s="3">
        <f t="shared" si="87"/>
        <v>1560</v>
      </c>
      <c r="BA112" s="3">
        <f t="shared" si="88"/>
        <v>3440</v>
      </c>
      <c r="BB112" s="3">
        <f t="shared" si="90"/>
        <v>3440</v>
      </c>
      <c r="BC112" s="3"/>
      <c r="BD112" s="3"/>
      <c r="BE112" s="145" t="s">
        <v>156</v>
      </c>
      <c r="BF112" s="57">
        <f>AU112</f>
        <v>1500</v>
      </c>
    </row>
    <row r="113" spans="1:58" s="146" customFormat="1" ht="38.1" customHeight="1">
      <c r="A113" s="75" t="s">
        <v>137</v>
      </c>
      <c r="B113" s="141" t="s">
        <v>138</v>
      </c>
      <c r="C113" s="172"/>
      <c r="D113" s="172"/>
      <c r="E113" s="139"/>
      <c r="F113" s="172"/>
      <c r="G113" s="99"/>
      <c r="H113" s="99"/>
      <c r="I113" s="145"/>
      <c r="J113" s="4">
        <f>+SUM(J114:J116)</f>
        <v>17500</v>
      </c>
      <c r="K113" s="4">
        <f t="shared" ref="K113:BD113" si="95">+SUM(K114:K116)</f>
        <v>17500</v>
      </c>
      <c r="L113" s="4">
        <f t="shared" si="95"/>
        <v>0</v>
      </c>
      <c r="M113" s="4">
        <f t="shared" si="95"/>
        <v>0</v>
      </c>
      <c r="N113" s="4">
        <f t="shared" si="95"/>
        <v>0</v>
      </c>
      <c r="O113" s="4">
        <f t="shared" si="95"/>
        <v>0</v>
      </c>
      <c r="P113" s="4">
        <f t="shared" si="95"/>
        <v>0</v>
      </c>
      <c r="Q113" s="4">
        <f t="shared" si="95"/>
        <v>0</v>
      </c>
      <c r="R113" s="4">
        <f t="shared" si="95"/>
        <v>13083</v>
      </c>
      <c r="S113" s="4">
        <f t="shared" si="95"/>
        <v>13083</v>
      </c>
      <c r="T113" s="4">
        <f t="shared" si="95"/>
        <v>0</v>
      </c>
      <c r="U113" s="4">
        <f t="shared" si="95"/>
        <v>0</v>
      </c>
      <c r="V113" s="4">
        <f t="shared" si="95"/>
        <v>0</v>
      </c>
      <c r="W113" s="4">
        <f t="shared" si="95"/>
        <v>0</v>
      </c>
      <c r="X113" s="4">
        <f t="shared" si="95"/>
        <v>0</v>
      </c>
      <c r="Y113" s="4">
        <f t="shared" si="95"/>
        <v>0</v>
      </c>
      <c r="Z113" s="4">
        <f t="shared" si="95"/>
        <v>0</v>
      </c>
      <c r="AA113" s="4">
        <f t="shared" si="95"/>
        <v>0</v>
      </c>
      <c r="AB113" s="4">
        <f t="shared" si="95"/>
        <v>0</v>
      </c>
      <c r="AC113" s="4">
        <f t="shared" si="95"/>
        <v>0</v>
      </c>
      <c r="AD113" s="4">
        <f t="shared" si="95"/>
        <v>0</v>
      </c>
      <c r="AE113" s="4">
        <f t="shared" si="95"/>
        <v>0</v>
      </c>
      <c r="AF113" s="4">
        <f t="shared" si="95"/>
        <v>0</v>
      </c>
      <c r="AG113" s="4">
        <f t="shared" si="95"/>
        <v>0</v>
      </c>
      <c r="AH113" s="4">
        <f t="shared" si="95"/>
        <v>0</v>
      </c>
      <c r="AI113" s="4">
        <f t="shared" si="95"/>
        <v>0</v>
      </c>
      <c r="AJ113" s="4">
        <f t="shared" si="95"/>
        <v>0</v>
      </c>
      <c r="AK113" s="4">
        <f t="shared" si="95"/>
        <v>0</v>
      </c>
      <c r="AL113" s="4">
        <f t="shared" si="95"/>
        <v>0</v>
      </c>
      <c r="AM113" s="4">
        <f t="shared" si="95"/>
        <v>0</v>
      </c>
      <c r="AN113" s="4">
        <f t="shared" si="95"/>
        <v>0</v>
      </c>
      <c r="AO113" s="4">
        <f t="shared" si="95"/>
        <v>0</v>
      </c>
      <c r="AP113" s="4">
        <f t="shared" si="95"/>
        <v>0</v>
      </c>
      <c r="AQ113" s="4">
        <f t="shared" si="95"/>
        <v>0</v>
      </c>
      <c r="AR113" s="4">
        <f t="shared" si="95"/>
        <v>0</v>
      </c>
      <c r="AS113" s="4">
        <f t="shared" si="95"/>
        <v>0</v>
      </c>
      <c r="AT113" s="4">
        <f t="shared" si="95"/>
        <v>0</v>
      </c>
      <c r="AU113" s="4">
        <f t="shared" si="95"/>
        <v>0</v>
      </c>
      <c r="AV113" s="4">
        <f t="shared" si="95"/>
        <v>0</v>
      </c>
      <c r="AW113" s="4">
        <f t="shared" si="95"/>
        <v>0</v>
      </c>
      <c r="AX113" s="4">
        <f t="shared" si="95"/>
        <v>0</v>
      </c>
      <c r="AY113" s="4">
        <f t="shared" si="95"/>
        <v>0</v>
      </c>
      <c r="AZ113" s="4">
        <f t="shared" si="95"/>
        <v>0</v>
      </c>
      <c r="BA113" s="4">
        <f t="shared" si="95"/>
        <v>9083</v>
      </c>
      <c r="BB113" s="4">
        <f>+SUM(BB114:BB116)</f>
        <v>9083</v>
      </c>
      <c r="BC113" s="4">
        <f t="shared" si="95"/>
        <v>0</v>
      </c>
      <c r="BD113" s="4">
        <f t="shared" si="95"/>
        <v>0</v>
      </c>
      <c r="BE113" s="145"/>
      <c r="BF113" s="57"/>
    </row>
    <row r="114" spans="1:58" s="146" customFormat="1" ht="37.5" customHeight="1">
      <c r="A114" s="155">
        <v>1</v>
      </c>
      <c r="B114" s="182" t="s">
        <v>223</v>
      </c>
      <c r="C114" s="172" t="s">
        <v>224</v>
      </c>
      <c r="D114" s="172"/>
      <c r="E114" s="139" t="s">
        <v>225</v>
      </c>
      <c r="F114" s="172"/>
      <c r="G114" s="99"/>
      <c r="H114" s="99"/>
      <c r="I114" s="145" t="s">
        <v>226</v>
      </c>
      <c r="J114" s="3">
        <f>+K114</f>
        <v>5000</v>
      </c>
      <c r="K114" s="3">
        <v>5000</v>
      </c>
      <c r="L114" s="3"/>
      <c r="M114" s="3"/>
      <c r="N114" s="3"/>
      <c r="O114" s="3"/>
      <c r="P114" s="3"/>
      <c r="Q114" s="3"/>
      <c r="R114" s="3">
        <f>+S114</f>
        <v>2283</v>
      </c>
      <c r="S114" s="3">
        <v>2283</v>
      </c>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f t="shared" ref="BA114:BA115" si="96">+BB114</f>
        <v>2283</v>
      </c>
      <c r="BB114" s="3">
        <v>2283</v>
      </c>
      <c r="BC114" s="3"/>
      <c r="BD114" s="3"/>
      <c r="BE114" s="145"/>
    </row>
    <row r="115" spans="1:58" s="146" customFormat="1" ht="46.5" customHeight="1">
      <c r="A115" s="155">
        <v>2</v>
      </c>
      <c r="B115" s="158" t="s">
        <v>227</v>
      </c>
      <c r="C115" s="172" t="s">
        <v>228</v>
      </c>
      <c r="D115" s="172"/>
      <c r="E115" s="99" t="s">
        <v>229</v>
      </c>
      <c r="F115" s="172"/>
      <c r="G115" s="99"/>
      <c r="H115" s="99" t="s">
        <v>175</v>
      </c>
      <c r="I115" s="145" t="s">
        <v>230</v>
      </c>
      <c r="J115" s="3">
        <f>+K115</f>
        <v>4500</v>
      </c>
      <c r="K115" s="3">
        <v>4500</v>
      </c>
      <c r="L115" s="3"/>
      <c r="M115" s="3"/>
      <c r="N115" s="3"/>
      <c r="O115" s="3"/>
      <c r="P115" s="3"/>
      <c r="Q115" s="3"/>
      <c r="R115" s="3">
        <f>+S115</f>
        <v>2800</v>
      </c>
      <c r="S115" s="3">
        <v>2800</v>
      </c>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f t="shared" si="96"/>
        <v>2800</v>
      </c>
      <c r="BB115" s="3">
        <v>2800</v>
      </c>
      <c r="BC115" s="3"/>
      <c r="BD115" s="3"/>
      <c r="BE115" s="145"/>
    </row>
    <row r="116" spans="1:58" s="146" customFormat="1" ht="49.7" customHeight="1">
      <c r="A116" s="155">
        <v>3</v>
      </c>
      <c r="B116" s="187" t="s">
        <v>231</v>
      </c>
      <c r="C116" s="172" t="s">
        <v>232</v>
      </c>
      <c r="D116" s="172"/>
      <c r="E116" s="139" t="s">
        <v>225</v>
      </c>
      <c r="F116" s="172"/>
      <c r="G116" s="99"/>
      <c r="H116" s="99"/>
      <c r="I116" s="145" t="s">
        <v>233</v>
      </c>
      <c r="J116" s="3">
        <f>+K116</f>
        <v>8000</v>
      </c>
      <c r="K116" s="3">
        <v>8000</v>
      </c>
      <c r="L116" s="3"/>
      <c r="M116" s="3"/>
      <c r="N116" s="3"/>
      <c r="O116" s="3"/>
      <c r="P116" s="3"/>
      <c r="Q116" s="3"/>
      <c r="R116" s="3">
        <f>+S116</f>
        <v>8000</v>
      </c>
      <c r="S116" s="3">
        <v>8000</v>
      </c>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f>+BB116</f>
        <v>4000</v>
      </c>
      <c r="BB116" s="3">
        <v>4000</v>
      </c>
      <c r="BC116" s="3"/>
      <c r="BD116" s="3"/>
      <c r="BE116" s="145"/>
    </row>
    <row r="117" spans="1:58" s="146" customFormat="1" ht="27" customHeight="1">
      <c r="A117" s="155"/>
      <c r="B117" s="182"/>
      <c r="C117" s="172"/>
      <c r="D117" s="172"/>
      <c r="E117" s="139"/>
      <c r="F117" s="172"/>
      <c r="G117" s="99"/>
      <c r="H117" s="99"/>
      <c r="I117" s="145"/>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12"/>
      <c r="AR117" s="12"/>
      <c r="AS117" s="12"/>
      <c r="AT117" s="12"/>
      <c r="AU117" s="12"/>
      <c r="AV117" s="12"/>
      <c r="AW117" s="12"/>
      <c r="AX117" s="3"/>
      <c r="AY117" s="3"/>
      <c r="AZ117" s="3"/>
      <c r="BA117" s="3"/>
      <c r="BB117" s="3"/>
      <c r="BC117" s="3"/>
      <c r="BD117" s="3"/>
      <c r="BE117" s="145"/>
      <c r="BF117" s="57"/>
    </row>
    <row r="118" spans="1:58" s="125" customFormat="1" ht="31.7" customHeight="1">
      <c r="A118" s="94"/>
      <c r="B118" s="91" t="s">
        <v>90</v>
      </c>
      <c r="C118" s="121"/>
      <c r="D118" s="121"/>
      <c r="E118" s="121"/>
      <c r="F118" s="121"/>
      <c r="G118" s="92"/>
      <c r="H118" s="121"/>
      <c r="I118" s="17"/>
      <c r="J118" s="4"/>
      <c r="K118" s="4"/>
      <c r="L118" s="4"/>
      <c r="M118" s="4"/>
      <c r="N118" s="4"/>
      <c r="O118" s="4"/>
      <c r="P118" s="3"/>
      <c r="Q118" s="3"/>
      <c r="R118" s="4"/>
      <c r="S118" s="4"/>
      <c r="T118" s="4"/>
      <c r="U118" s="4"/>
      <c r="V118" s="4"/>
      <c r="W118" s="4"/>
      <c r="X118" s="4"/>
      <c r="Y118" s="4"/>
      <c r="Z118" s="4"/>
      <c r="AA118" s="4"/>
      <c r="AB118" s="4">
        <v>23278</v>
      </c>
      <c r="AC118" s="4"/>
      <c r="AD118" s="4"/>
      <c r="AE118" s="4"/>
      <c r="AF118" s="4"/>
      <c r="AG118" s="4"/>
      <c r="AH118" s="4"/>
      <c r="AI118" s="4"/>
      <c r="AJ118" s="4"/>
      <c r="AK118" s="4"/>
      <c r="AL118" s="4"/>
      <c r="AM118" s="4"/>
      <c r="AN118" s="4">
        <v>24405.42116664644</v>
      </c>
      <c r="AO118" s="4"/>
      <c r="AP118" s="4"/>
      <c r="AQ118" s="22"/>
      <c r="AR118" s="22"/>
      <c r="AS118" s="22"/>
      <c r="AT118" s="22"/>
      <c r="AU118" s="22">
        <v>28851</v>
      </c>
      <c r="AV118" s="22"/>
      <c r="AW118" s="22"/>
      <c r="AX118" s="4"/>
      <c r="AY118" s="4"/>
      <c r="AZ118" s="4"/>
      <c r="BA118" s="4"/>
      <c r="BB118" s="4"/>
      <c r="BC118" s="4"/>
      <c r="BD118" s="4"/>
      <c r="BE118" s="118"/>
    </row>
    <row r="119" spans="1:58" s="115" customFormat="1" ht="33.950000000000003" customHeight="1">
      <c r="A119" s="126" t="s">
        <v>78</v>
      </c>
      <c r="B119" s="127" t="s">
        <v>234</v>
      </c>
      <c r="C119" s="87"/>
      <c r="D119" s="87"/>
      <c r="E119" s="87"/>
      <c r="F119" s="87"/>
      <c r="G119" s="92"/>
      <c r="H119" s="87"/>
      <c r="I119" s="8"/>
      <c r="J119" s="4">
        <f>J120+J125</f>
        <v>96684</v>
      </c>
      <c r="K119" s="4">
        <f t="shared" ref="K119:BA119" si="97">K120+K125</f>
        <v>58475</v>
      </c>
      <c r="L119" s="4">
        <f t="shared" si="97"/>
        <v>0</v>
      </c>
      <c r="M119" s="4">
        <f t="shared" si="97"/>
        <v>0</v>
      </c>
      <c r="N119" s="4">
        <f t="shared" si="97"/>
        <v>0</v>
      </c>
      <c r="O119" s="4">
        <f t="shared" si="97"/>
        <v>47184</v>
      </c>
      <c r="P119" s="4">
        <f t="shared" si="97"/>
        <v>124</v>
      </c>
      <c r="Q119" s="4">
        <f t="shared" si="97"/>
        <v>124</v>
      </c>
      <c r="R119" s="4">
        <f t="shared" si="97"/>
        <v>88475</v>
      </c>
      <c r="S119" s="4">
        <f t="shared" si="97"/>
        <v>55975</v>
      </c>
      <c r="T119" s="4">
        <f t="shared" si="97"/>
        <v>0</v>
      </c>
      <c r="U119" s="4">
        <f t="shared" si="97"/>
        <v>0</v>
      </c>
      <c r="V119" s="4">
        <f t="shared" si="97"/>
        <v>7467</v>
      </c>
      <c r="W119" s="4">
        <f t="shared" si="97"/>
        <v>124</v>
      </c>
      <c r="X119" s="4">
        <f t="shared" si="97"/>
        <v>124</v>
      </c>
      <c r="Y119" s="4">
        <f t="shared" si="97"/>
        <v>0</v>
      </c>
      <c r="Z119" s="4">
        <f t="shared" si="97"/>
        <v>0</v>
      </c>
      <c r="AA119" s="4">
        <f t="shared" si="97"/>
        <v>7643</v>
      </c>
      <c r="AB119" s="4">
        <f t="shared" si="97"/>
        <v>300</v>
      </c>
      <c r="AC119" s="4">
        <f t="shared" si="97"/>
        <v>0</v>
      </c>
      <c r="AD119" s="4">
        <f t="shared" si="97"/>
        <v>0</v>
      </c>
      <c r="AE119" s="4">
        <f t="shared" si="97"/>
        <v>7767</v>
      </c>
      <c r="AF119" s="4">
        <f t="shared" si="97"/>
        <v>424</v>
      </c>
      <c r="AG119" s="4">
        <f t="shared" si="97"/>
        <v>0</v>
      </c>
      <c r="AH119" s="4">
        <f t="shared" si="97"/>
        <v>0</v>
      </c>
      <c r="AI119" s="4">
        <f t="shared" si="97"/>
        <v>10000</v>
      </c>
      <c r="AJ119" s="4">
        <f t="shared" si="97"/>
        <v>10000</v>
      </c>
      <c r="AK119" s="4">
        <f t="shared" si="97"/>
        <v>0</v>
      </c>
      <c r="AL119" s="4">
        <f t="shared" si="97"/>
        <v>0</v>
      </c>
      <c r="AM119" s="4">
        <f t="shared" si="97"/>
        <v>10000</v>
      </c>
      <c r="AN119" s="4">
        <f t="shared" si="97"/>
        <v>10000</v>
      </c>
      <c r="AO119" s="4">
        <f t="shared" si="97"/>
        <v>0</v>
      </c>
      <c r="AP119" s="4">
        <f t="shared" si="97"/>
        <v>0</v>
      </c>
      <c r="AQ119" s="4">
        <f t="shared" si="97"/>
        <v>17467</v>
      </c>
      <c r="AR119" s="4">
        <f t="shared" si="97"/>
        <v>10424</v>
      </c>
      <c r="AS119" s="4">
        <f t="shared" si="97"/>
        <v>10424</v>
      </c>
      <c r="AT119" s="4">
        <f t="shared" si="97"/>
        <v>31620</v>
      </c>
      <c r="AU119" s="4">
        <f t="shared" si="97"/>
        <v>18370</v>
      </c>
      <c r="AV119" s="4">
        <f t="shared" si="97"/>
        <v>0</v>
      </c>
      <c r="AW119" s="4">
        <f t="shared" si="97"/>
        <v>0</v>
      </c>
      <c r="AX119" s="4">
        <f t="shared" si="97"/>
        <v>35837</v>
      </c>
      <c r="AY119" s="4">
        <f t="shared" si="97"/>
        <v>28794</v>
      </c>
      <c r="AZ119" s="4">
        <f t="shared" si="97"/>
        <v>28794</v>
      </c>
      <c r="BA119" s="4">
        <f t="shared" si="97"/>
        <v>24175</v>
      </c>
      <c r="BB119" s="4">
        <f>BB120+BB125</f>
        <v>24175</v>
      </c>
      <c r="BC119" s="4">
        <f t="shared" ref="BC119:BD119" si="98">BC120+BC125</f>
        <v>0</v>
      </c>
      <c r="BD119" s="4">
        <f t="shared" si="98"/>
        <v>0</v>
      </c>
      <c r="BE119" s="134"/>
      <c r="BF119" s="89"/>
    </row>
    <row r="120" spans="1:58" s="89" customFormat="1" ht="33.75" customHeight="1">
      <c r="A120" s="179" t="s">
        <v>103</v>
      </c>
      <c r="B120" s="130" t="s">
        <v>160</v>
      </c>
      <c r="C120" s="180"/>
      <c r="D120" s="180"/>
      <c r="E120" s="180"/>
      <c r="F120" s="180"/>
      <c r="G120" s="180"/>
      <c r="H120" s="180"/>
      <c r="I120" s="21"/>
      <c r="J120" s="28">
        <f>J121</f>
        <v>81684</v>
      </c>
      <c r="K120" s="28">
        <f t="shared" ref="K120:BD120" si="99">K121</f>
        <v>43475</v>
      </c>
      <c r="L120" s="28">
        <f t="shared" si="99"/>
        <v>0</v>
      </c>
      <c r="M120" s="28">
        <f t="shared" si="99"/>
        <v>0</v>
      </c>
      <c r="N120" s="28">
        <f t="shared" si="99"/>
        <v>0</v>
      </c>
      <c r="O120" s="28">
        <f t="shared" si="99"/>
        <v>47184</v>
      </c>
      <c r="P120" s="28">
        <f t="shared" si="99"/>
        <v>124</v>
      </c>
      <c r="Q120" s="28">
        <f t="shared" si="99"/>
        <v>124</v>
      </c>
      <c r="R120" s="28">
        <f t="shared" si="99"/>
        <v>73475</v>
      </c>
      <c r="S120" s="28">
        <f t="shared" si="99"/>
        <v>40975</v>
      </c>
      <c r="T120" s="28">
        <f t="shared" si="99"/>
        <v>0</v>
      </c>
      <c r="U120" s="28">
        <f t="shared" si="99"/>
        <v>0</v>
      </c>
      <c r="V120" s="28">
        <f t="shared" si="99"/>
        <v>7467</v>
      </c>
      <c r="W120" s="28">
        <f t="shared" si="99"/>
        <v>124</v>
      </c>
      <c r="X120" s="28">
        <f t="shared" si="99"/>
        <v>124</v>
      </c>
      <c r="Y120" s="28">
        <f t="shared" si="99"/>
        <v>0</v>
      </c>
      <c r="Z120" s="28">
        <f t="shared" si="99"/>
        <v>0</v>
      </c>
      <c r="AA120" s="28">
        <f t="shared" si="99"/>
        <v>7643</v>
      </c>
      <c r="AB120" s="28">
        <f t="shared" si="99"/>
        <v>300</v>
      </c>
      <c r="AC120" s="28">
        <f t="shared" si="99"/>
        <v>0</v>
      </c>
      <c r="AD120" s="28">
        <f t="shared" si="99"/>
        <v>0</v>
      </c>
      <c r="AE120" s="28">
        <f t="shared" si="99"/>
        <v>7767</v>
      </c>
      <c r="AF120" s="28">
        <f t="shared" si="99"/>
        <v>424</v>
      </c>
      <c r="AG120" s="28">
        <f t="shared" si="99"/>
        <v>0</v>
      </c>
      <c r="AH120" s="28">
        <f t="shared" si="99"/>
        <v>0</v>
      </c>
      <c r="AI120" s="28">
        <f t="shared" si="99"/>
        <v>10000</v>
      </c>
      <c r="AJ120" s="28">
        <f t="shared" si="99"/>
        <v>10000</v>
      </c>
      <c r="AK120" s="28">
        <f t="shared" si="99"/>
        <v>0</v>
      </c>
      <c r="AL120" s="28">
        <f t="shared" si="99"/>
        <v>0</v>
      </c>
      <c r="AM120" s="28">
        <f t="shared" si="99"/>
        <v>10000</v>
      </c>
      <c r="AN120" s="28">
        <f t="shared" si="99"/>
        <v>10000</v>
      </c>
      <c r="AO120" s="28">
        <f t="shared" si="99"/>
        <v>0</v>
      </c>
      <c r="AP120" s="28">
        <f t="shared" si="99"/>
        <v>0</v>
      </c>
      <c r="AQ120" s="28">
        <f t="shared" si="99"/>
        <v>17467</v>
      </c>
      <c r="AR120" s="28">
        <f t="shared" si="99"/>
        <v>10424</v>
      </c>
      <c r="AS120" s="28">
        <f t="shared" si="99"/>
        <v>10424</v>
      </c>
      <c r="AT120" s="28">
        <f t="shared" si="99"/>
        <v>31620</v>
      </c>
      <c r="AU120" s="28">
        <f t="shared" si="99"/>
        <v>18370</v>
      </c>
      <c r="AV120" s="28">
        <f t="shared" si="99"/>
        <v>0</v>
      </c>
      <c r="AW120" s="28">
        <f t="shared" si="99"/>
        <v>0</v>
      </c>
      <c r="AX120" s="9">
        <f t="shared" si="99"/>
        <v>35837</v>
      </c>
      <c r="AY120" s="9">
        <f t="shared" si="99"/>
        <v>28794</v>
      </c>
      <c r="AZ120" s="9">
        <f t="shared" si="99"/>
        <v>28794</v>
      </c>
      <c r="BA120" s="9">
        <f t="shared" si="99"/>
        <v>9175</v>
      </c>
      <c r="BB120" s="9">
        <f t="shared" si="99"/>
        <v>9175</v>
      </c>
      <c r="BC120" s="28">
        <f t="shared" si="99"/>
        <v>0</v>
      </c>
      <c r="BD120" s="28">
        <f t="shared" si="99"/>
        <v>0</v>
      </c>
      <c r="BE120" s="118"/>
    </row>
    <row r="121" spans="1:58" s="125" customFormat="1" ht="33.75" customHeight="1">
      <c r="A121" s="142" t="s">
        <v>150</v>
      </c>
      <c r="B121" s="93" t="s">
        <v>95</v>
      </c>
      <c r="C121" s="181"/>
      <c r="D121" s="181"/>
      <c r="E121" s="181"/>
      <c r="F121" s="181"/>
      <c r="G121" s="181"/>
      <c r="H121" s="181"/>
      <c r="I121" s="17"/>
      <c r="J121" s="25">
        <f>SUM(J122:J124)</f>
        <v>81684</v>
      </c>
      <c r="K121" s="25">
        <f t="shared" ref="K121:BD121" si="100">SUM(K122:K124)</f>
        <v>43475</v>
      </c>
      <c r="L121" s="25">
        <f t="shared" si="100"/>
        <v>0</v>
      </c>
      <c r="M121" s="25">
        <f t="shared" si="100"/>
        <v>0</v>
      </c>
      <c r="N121" s="25">
        <f t="shared" si="100"/>
        <v>0</v>
      </c>
      <c r="O121" s="25">
        <f t="shared" si="100"/>
        <v>47184</v>
      </c>
      <c r="P121" s="25">
        <f t="shared" si="100"/>
        <v>124</v>
      </c>
      <c r="Q121" s="25">
        <f t="shared" si="100"/>
        <v>124</v>
      </c>
      <c r="R121" s="25">
        <f t="shared" si="100"/>
        <v>73475</v>
      </c>
      <c r="S121" s="25">
        <f t="shared" si="100"/>
        <v>40975</v>
      </c>
      <c r="T121" s="25">
        <f t="shared" si="100"/>
        <v>0</v>
      </c>
      <c r="U121" s="25">
        <f t="shared" si="100"/>
        <v>0</v>
      </c>
      <c r="V121" s="25">
        <f t="shared" si="100"/>
        <v>7467</v>
      </c>
      <c r="W121" s="25">
        <f t="shared" si="100"/>
        <v>124</v>
      </c>
      <c r="X121" s="25">
        <f t="shared" si="100"/>
        <v>124</v>
      </c>
      <c r="Y121" s="25">
        <f t="shared" si="100"/>
        <v>0</v>
      </c>
      <c r="Z121" s="25">
        <f t="shared" si="100"/>
        <v>0</v>
      </c>
      <c r="AA121" s="25">
        <f t="shared" si="100"/>
        <v>7643</v>
      </c>
      <c r="AB121" s="25">
        <f t="shared" si="100"/>
        <v>300</v>
      </c>
      <c r="AC121" s="25">
        <f t="shared" si="100"/>
        <v>0</v>
      </c>
      <c r="AD121" s="25">
        <f t="shared" si="100"/>
        <v>0</v>
      </c>
      <c r="AE121" s="25">
        <f t="shared" si="100"/>
        <v>7767</v>
      </c>
      <c r="AF121" s="25">
        <f t="shared" si="100"/>
        <v>424</v>
      </c>
      <c r="AG121" s="25">
        <f t="shared" si="100"/>
        <v>0</v>
      </c>
      <c r="AH121" s="25">
        <f t="shared" si="100"/>
        <v>0</v>
      </c>
      <c r="AI121" s="25">
        <f t="shared" si="100"/>
        <v>10000</v>
      </c>
      <c r="AJ121" s="25">
        <f t="shared" si="100"/>
        <v>10000</v>
      </c>
      <c r="AK121" s="25">
        <f t="shared" si="100"/>
        <v>0</v>
      </c>
      <c r="AL121" s="25">
        <f t="shared" si="100"/>
        <v>0</v>
      </c>
      <c r="AM121" s="25">
        <f t="shared" si="100"/>
        <v>10000</v>
      </c>
      <c r="AN121" s="25">
        <f t="shared" si="100"/>
        <v>10000</v>
      </c>
      <c r="AO121" s="25">
        <f t="shared" si="100"/>
        <v>0</v>
      </c>
      <c r="AP121" s="25">
        <f t="shared" si="100"/>
        <v>0</v>
      </c>
      <c r="AQ121" s="25">
        <f t="shared" si="100"/>
        <v>17467</v>
      </c>
      <c r="AR121" s="25">
        <f t="shared" si="100"/>
        <v>10424</v>
      </c>
      <c r="AS121" s="25">
        <f t="shared" si="100"/>
        <v>10424</v>
      </c>
      <c r="AT121" s="25">
        <f t="shared" si="100"/>
        <v>31620</v>
      </c>
      <c r="AU121" s="25">
        <f t="shared" si="100"/>
        <v>18370</v>
      </c>
      <c r="AV121" s="25">
        <f t="shared" si="100"/>
        <v>0</v>
      </c>
      <c r="AW121" s="25">
        <f t="shared" si="100"/>
        <v>0</v>
      </c>
      <c r="AX121" s="25">
        <f t="shared" si="100"/>
        <v>35837</v>
      </c>
      <c r="AY121" s="25">
        <f t="shared" si="100"/>
        <v>28794</v>
      </c>
      <c r="AZ121" s="25">
        <f t="shared" si="100"/>
        <v>28794</v>
      </c>
      <c r="BA121" s="25">
        <f t="shared" si="100"/>
        <v>9175</v>
      </c>
      <c r="BB121" s="25">
        <f>SUM(BB122:BB124)</f>
        <v>9175</v>
      </c>
      <c r="BC121" s="25">
        <f t="shared" si="100"/>
        <v>0</v>
      </c>
      <c r="BD121" s="25">
        <f t="shared" si="100"/>
        <v>0</v>
      </c>
      <c r="BE121" s="121"/>
    </row>
    <row r="122" spans="1:58" s="146" customFormat="1" ht="63" customHeight="1">
      <c r="A122" s="72">
        <v>1</v>
      </c>
      <c r="B122" s="188" t="s">
        <v>235</v>
      </c>
      <c r="C122" s="139" t="s">
        <v>236</v>
      </c>
      <c r="D122" s="139"/>
      <c r="E122" s="139" t="s">
        <v>237</v>
      </c>
      <c r="F122" s="139"/>
      <c r="G122" s="139" t="s">
        <v>238</v>
      </c>
      <c r="H122" s="139" t="s">
        <v>107</v>
      </c>
      <c r="I122" s="139" t="s">
        <v>239</v>
      </c>
      <c r="J122" s="189">
        <v>47184</v>
      </c>
      <c r="K122" s="31">
        <v>8975</v>
      </c>
      <c r="L122" s="3"/>
      <c r="M122" s="3"/>
      <c r="N122" s="3"/>
      <c r="O122" s="3">
        <f>J122</f>
        <v>47184</v>
      </c>
      <c r="P122" s="3">
        <f t="shared" ref="P122:Q124" si="101">L122+W122</f>
        <v>0</v>
      </c>
      <c r="Q122" s="3">
        <f t="shared" si="101"/>
        <v>0</v>
      </c>
      <c r="R122" s="26">
        <f>S122+32500</f>
        <v>41475</v>
      </c>
      <c r="S122" s="3">
        <v>8975</v>
      </c>
      <c r="T122" s="3"/>
      <c r="U122" s="3"/>
      <c r="V122" s="3">
        <v>7343</v>
      </c>
      <c r="W122" s="3"/>
      <c r="X122" s="3"/>
      <c r="Y122" s="3"/>
      <c r="Z122" s="3"/>
      <c r="AA122" s="3">
        <v>7343</v>
      </c>
      <c r="AB122" s="3"/>
      <c r="AC122" s="3"/>
      <c r="AD122" s="3"/>
      <c r="AE122" s="3">
        <f t="shared" ref="AE122:AF124" si="102">W122+AA122</f>
        <v>7343</v>
      </c>
      <c r="AF122" s="3">
        <f t="shared" si="102"/>
        <v>0</v>
      </c>
      <c r="AG122" s="3"/>
      <c r="AH122" s="3"/>
      <c r="AI122" s="3">
        <f t="shared" ref="AI122:AL128" si="103">AM122</f>
        <v>1000</v>
      </c>
      <c r="AJ122" s="3">
        <f t="shared" si="103"/>
        <v>1000</v>
      </c>
      <c r="AK122" s="3">
        <f t="shared" si="103"/>
        <v>0</v>
      </c>
      <c r="AL122" s="3">
        <f t="shared" si="103"/>
        <v>0</v>
      </c>
      <c r="AM122" s="3">
        <f>AN122</f>
        <v>1000</v>
      </c>
      <c r="AN122" s="3">
        <v>1000</v>
      </c>
      <c r="AO122" s="3"/>
      <c r="AP122" s="3"/>
      <c r="AQ122" s="12">
        <f>V122+AN122</f>
        <v>8343</v>
      </c>
      <c r="AR122" s="12">
        <f t="shared" ref="AR122:AR124" si="104">AS122</f>
        <v>1000</v>
      </c>
      <c r="AS122" s="12">
        <f t="shared" ref="AS122:AS124" si="105">AF122+AN122</f>
        <v>1000</v>
      </c>
      <c r="AT122" s="12">
        <f>AU122+13250</f>
        <v>15750</v>
      </c>
      <c r="AU122" s="12">
        <v>2500</v>
      </c>
      <c r="AV122" s="12"/>
      <c r="AW122" s="12"/>
      <c r="AX122" s="3">
        <f t="shared" ref="AX122:AX124" si="106">AQ122+AU122</f>
        <v>10843</v>
      </c>
      <c r="AY122" s="3">
        <f t="shared" ref="AY122:AY124" si="107">AZ122</f>
        <v>3500</v>
      </c>
      <c r="AZ122" s="3">
        <f t="shared" ref="AZ122:AZ124" si="108">AS122+AU122</f>
        <v>3500</v>
      </c>
      <c r="BA122" s="3">
        <f t="shared" ref="BA122:BA124" si="109">BB122</f>
        <v>2475</v>
      </c>
      <c r="BB122" s="3">
        <v>2475</v>
      </c>
      <c r="BC122" s="3"/>
      <c r="BD122" s="3"/>
      <c r="BE122" s="145" t="s">
        <v>156</v>
      </c>
      <c r="BF122" s="57"/>
    </row>
    <row r="123" spans="1:58" s="64" customFormat="1" ht="39.950000000000003" customHeight="1">
      <c r="A123" s="72">
        <v>2</v>
      </c>
      <c r="B123" s="144" t="s">
        <v>240</v>
      </c>
      <c r="C123" s="155" t="s">
        <v>241</v>
      </c>
      <c r="D123" s="155"/>
      <c r="E123" s="139" t="s">
        <v>237</v>
      </c>
      <c r="F123" s="155"/>
      <c r="G123" s="149"/>
      <c r="H123" s="99" t="s">
        <v>125</v>
      </c>
      <c r="I123" s="172" t="s">
        <v>242</v>
      </c>
      <c r="J123" s="3">
        <v>9500</v>
      </c>
      <c r="K123" s="3">
        <v>9500</v>
      </c>
      <c r="L123" s="3"/>
      <c r="M123" s="3"/>
      <c r="N123" s="3"/>
      <c r="O123" s="3"/>
      <c r="P123" s="3">
        <f t="shared" si="101"/>
        <v>124</v>
      </c>
      <c r="Q123" s="3">
        <f t="shared" si="101"/>
        <v>124</v>
      </c>
      <c r="R123" s="3">
        <f>S123</f>
        <v>9500</v>
      </c>
      <c r="S123" s="3">
        <v>9500</v>
      </c>
      <c r="T123" s="3"/>
      <c r="U123" s="3"/>
      <c r="V123" s="3">
        <v>124</v>
      </c>
      <c r="W123" s="3">
        <v>124</v>
      </c>
      <c r="X123" s="3">
        <v>124</v>
      </c>
      <c r="Y123" s="3"/>
      <c r="Z123" s="3"/>
      <c r="AA123" s="3"/>
      <c r="AB123" s="3"/>
      <c r="AC123" s="3"/>
      <c r="AD123" s="3">
        <f>AB123/S123*100</f>
        <v>0</v>
      </c>
      <c r="AE123" s="3">
        <f t="shared" si="102"/>
        <v>124</v>
      </c>
      <c r="AF123" s="3">
        <f t="shared" si="102"/>
        <v>124</v>
      </c>
      <c r="AG123" s="3"/>
      <c r="AH123" s="3"/>
      <c r="AI123" s="3">
        <f t="shared" si="103"/>
        <v>3500</v>
      </c>
      <c r="AJ123" s="3">
        <f t="shared" si="103"/>
        <v>3500</v>
      </c>
      <c r="AK123" s="3">
        <f t="shared" si="103"/>
        <v>0</v>
      </c>
      <c r="AL123" s="3"/>
      <c r="AM123" s="3">
        <f>AN123</f>
        <v>3500</v>
      </c>
      <c r="AN123" s="3">
        <v>3500</v>
      </c>
      <c r="AO123" s="3"/>
      <c r="AP123" s="3"/>
      <c r="AQ123" s="12">
        <f>V123+AN123</f>
        <v>3624</v>
      </c>
      <c r="AR123" s="12">
        <f t="shared" si="104"/>
        <v>3624</v>
      </c>
      <c r="AS123" s="12">
        <f t="shared" si="105"/>
        <v>3624</v>
      </c>
      <c r="AT123" s="12">
        <f t="shared" ref="AT123:AT124" si="110">AU123</f>
        <v>5870</v>
      </c>
      <c r="AU123" s="12">
        <f>3000+2870</f>
        <v>5870</v>
      </c>
      <c r="AV123" s="12"/>
      <c r="AW123" s="12"/>
      <c r="AX123" s="3">
        <f t="shared" si="106"/>
        <v>9494</v>
      </c>
      <c r="AY123" s="3">
        <f t="shared" si="107"/>
        <v>9494</v>
      </c>
      <c r="AZ123" s="3">
        <f t="shared" si="108"/>
        <v>9494</v>
      </c>
      <c r="BA123" s="3"/>
      <c r="BB123" s="3"/>
      <c r="BC123" s="3"/>
      <c r="BD123" s="3"/>
      <c r="BE123" s="145" t="s">
        <v>243</v>
      </c>
      <c r="BF123" s="111"/>
    </row>
    <row r="124" spans="1:58" s="146" customFormat="1" ht="44.45" customHeight="1">
      <c r="A124" s="72">
        <v>4</v>
      </c>
      <c r="B124" s="169" t="s">
        <v>244</v>
      </c>
      <c r="C124" s="137" t="s">
        <v>245</v>
      </c>
      <c r="D124" s="137"/>
      <c r="E124" s="139" t="s">
        <v>237</v>
      </c>
      <c r="F124" s="137"/>
      <c r="G124" s="99"/>
      <c r="H124" s="99" t="s">
        <v>125</v>
      </c>
      <c r="I124" s="190" t="s">
        <v>246</v>
      </c>
      <c r="J124" s="151">
        <f>K124</f>
        <v>25000</v>
      </c>
      <c r="K124" s="151">
        <v>25000</v>
      </c>
      <c r="L124" s="3"/>
      <c r="M124" s="3"/>
      <c r="N124" s="3"/>
      <c r="O124" s="3"/>
      <c r="P124" s="3">
        <f t="shared" si="101"/>
        <v>0</v>
      </c>
      <c r="Q124" s="3">
        <f t="shared" si="101"/>
        <v>0</v>
      </c>
      <c r="R124" s="3">
        <f>S124</f>
        <v>22500</v>
      </c>
      <c r="S124" s="3">
        <v>22500</v>
      </c>
      <c r="T124" s="3"/>
      <c r="U124" s="3"/>
      <c r="V124" s="3"/>
      <c r="W124" s="3"/>
      <c r="X124" s="3"/>
      <c r="Y124" s="3"/>
      <c r="Z124" s="3"/>
      <c r="AA124" s="3">
        <v>300</v>
      </c>
      <c r="AB124" s="3">
        <v>300</v>
      </c>
      <c r="AC124" s="3"/>
      <c r="AD124" s="3"/>
      <c r="AE124" s="3">
        <f t="shared" si="102"/>
        <v>300</v>
      </c>
      <c r="AF124" s="3">
        <f t="shared" si="102"/>
        <v>300</v>
      </c>
      <c r="AG124" s="3"/>
      <c r="AH124" s="3"/>
      <c r="AI124" s="3">
        <f t="shared" si="103"/>
        <v>5500</v>
      </c>
      <c r="AJ124" s="3">
        <f t="shared" si="103"/>
        <v>5500</v>
      </c>
      <c r="AK124" s="3">
        <f t="shared" si="103"/>
        <v>0</v>
      </c>
      <c r="AL124" s="3"/>
      <c r="AM124" s="3">
        <f>AN124</f>
        <v>5500</v>
      </c>
      <c r="AN124" s="3">
        <v>5500</v>
      </c>
      <c r="AO124" s="3"/>
      <c r="AP124" s="3"/>
      <c r="AQ124" s="12">
        <f>V124+AN124</f>
        <v>5500</v>
      </c>
      <c r="AR124" s="12">
        <f t="shared" si="104"/>
        <v>5800</v>
      </c>
      <c r="AS124" s="12">
        <f t="shared" si="105"/>
        <v>5800</v>
      </c>
      <c r="AT124" s="12">
        <f t="shared" si="110"/>
        <v>10000</v>
      </c>
      <c r="AU124" s="12">
        <v>10000</v>
      </c>
      <c r="AV124" s="12"/>
      <c r="AW124" s="12"/>
      <c r="AX124" s="3">
        <f t="shared" si="106"/>
        <v>15500</v>
      </c>
      <c r="AY124" s="3">
        <f t="shared" si="107"/>
        <v>15800</v>
      </c>
      <c r="AZ124" s="3">
        <f t="shared" si="108"/>
        <v>15800</v>
      </c>
      <c r="BA124" s="3">
        <f t="shared" si="109"/>
        <v>6700</v>
      </c>
      <c r="BB124" s="3">
        <f>S124-AZ124</f>
        <v>6700</v>
      </c>
      <c r="BC124" s="3"/>
      <c r="BD124" s="3"/>
      <c r="BE124" s="145" t="s">
        <v>156</v>
      </c>
      <c r="BF124" s="57"/>
    </row>
    <row r="125" spans="1:58" s="146" customFormat="1" ht="29.25" customHeight="1">
      <c r="A125" s="75" t="s">
        <v>137</v>
      </c>
      <c r="B125" s="141" t="s">
        <v>138</v>
      </c>
      <c r="C125" s="137"/>
      <c r="D125" s="137"/>
      <c r="E125" s="139"/>
      <c r="F125" s="137"/>
      <c r="G125" s="99"/>
      <c r="H125" s="99"/>
      <c r="I125" s="190"/>
      <c r="J125" s="191">
        <f>+J126+J127</f>
        <v>15000</v>
      </c>
      <c r="K125" s="191">
        <f t="shared" ref="K125:BD125" si="111">+K126+K127</f>
        <v>15000</v>
      </c>
      <c r="L125" s="191">
        <f t="shared" si="111"/>
        <v>0</v>
      </c>
      <c r="M125" s="191">
        <f t="shared" si="111"/>
        <v>0</v>
      </c>
      <c r="N125" s="191">
        <f t="shared" si="111"/>
        <v>0</v>
      </c>
      <c r="O125" s="191">
        <f t="shared" si="111"/>
        <v>0</v>
      </c>
      <c r="P125" s="191">
        <f t="shared" si="111"/>
        <v>0</v>
      </c>
      <c r="Q125" s="191">
        <f t="shared" si="111"/>
        <v>0</v>
      </c>
      <c r="R125" s="191">
        <f t="shared" si="111"/>
        <v>15000</v>
      </c>
      <c r="S125" s="191">
        <f t="shared" si="111"/>
        <v>15000</v>
      </c>
      <c r="T125" s="191">
        <f t="shared" si="111"/>
        <v>0</v>
      </c>
      <c r="U125" s="191">
        <f t="shared" si="111"/>
        <v>0</v>
      </c>
      <c r="V125" s="191">
        <f t="shared" si="111"/>
        <v>0</v>
      </c>
      <c r="W125" s="191">
        <f t="shared" si="111"/>
        <v>0</v>
      </c>
      <c r="X125" s="191">
        <f t="shared" si="111"/>
        <v>0</v>
      </c>
      <c r="Y125" s="191">
        <f t="shared" si="111"/>
        <v>0</v>
      </c>
      <c r="Z125" s="191">
        <f t="shared" si="111"/>
        <v>0</v>
      </c>
      <c r="AA125" s="191">
        <f t="shared" si="111"/>
        <v>0</v>
      </c>
      <c r="AB125" s="191">
        <f t="shared" si="111"/>
        <v>0</v>
      </c>
      <c r="AC125" s="191">
        <f t="shared" si="111"/>
        <v>0</v>
      </c>
      <c r="AD125" s="191">
        <f t="shared" si="111"/>
        <v>0</v>
      </c>
      <c r="AE125" s="191">
        <f t="shared" si="111"/>
        <v>0</v>
      </c>
      <c r="AF125" s="191">
        <f t="shared" si="111"/>
        <v>0</v>
      </c>
      <c r="AG125" s="191">
        <f t="shared" si="111"/>
        <v>0</v>
      </c>
      <c r="AH125" s="191">
        <f t="shared" si="111"/>
        <v>0</v>
      </c>
      <c r="AI125" s="191">
        <f t="shared" si="111"/>
        <v>0</v>
      </c>
      <c r="AJ125" s="191">
        <f t="shared" si="111"/>
        <v>0</v>
      </c>
      <c r="AK125" s="191">
        <f t="shared" si="111"/>
        <v>0</v>
      </c>
      <c r="AL125" s="191">
        <f t="shared" si="111"/>
        <v>0</v>
      </c>
      <c r="AM125" s="191">
        <f t="shared" si="111"/>
        <v>0</v>
      </c>
      <c r="AN125" s="191">
        <f t="shared" si="111"/>
        <v>0</v>
      </c>
      <c r="AO125" s="191">
        <f t="shared" si="111"/>
        <v>0</v>
      </c>
      <c r="AP125" s="191">
        <f t="shared" si="111"/>
        <v>0</v>
      </c>
      <c r="AQ125" s="191">
        <f t="shared" si="111"/>
        <v>0</v>
      </c>
      <c r="AR125" s="191">
        <f t="shared" si="111"/>
        <v>0</v>
      </c>
      <c r="AS125" s="191">
        <f t="shared" si="111"/>
        <v>0</v>
      </c>
      <c r="AT125" s="191">
        <f t="shared" si="111"/>
        <v>0</v>
      </c>
      <c r="AU125" s="191">
        <f t="shared" si="111"/>
        <v>0</v>
      </c>
      <c r="AV125" s="191">
        <f t="shared" si="111"/>
        <v>0</v>
      </c>
      <c r="AW125" s="191">
        <f t="shared" si="111"/>
        <v>0</v>
      </c>
      <c r="AX125" s="191">
        <f t="shared" si="111"/>
        <v>0</v>
      </c>
      <c r="AY125" s="191">
        <f t="shared" si="111"/>
        <v>0</v>
      </c>
      <c r="AZ125" s="191">
        <f t="shared" si="111"/>
        <v>0</v>
      </c>
      <c r="BA125" s="191">
        <f t="shared" si="111"/>
        <v>15000</v>
      </c>
      <c r="BB125" s="191">
        <f>+BB126+BB127</f>
        <v>15000</v>
      </c>
      <c r="BC125" s="191">
        <f t="shared" si="111"/>
        <v>0</v>
      </c>
      <c r="BD125" s="191">
        <f t="shared" si="111"/>
        <v>0</v>
      </c>
      <c r="BE125" s="145"/>
      <c r="BF125" s="57"/>
    </row>
    <row r="126" spans="1:58" s="146" customFormat="1" ht="41.25" customHeight="1">
      <c r="A126" s="72">
        <v>1</v>
      </c>
      <c r="B126" s="192" t="s">
        <v>247</v>
      </c>
      <c r="C126" s="137"/>
      <c r="D126" s="137"/>
      <c r="E126" s="139"/>
      <c r="F126" s="137"/>
      <c r="G126" s="99"/>
      <c r="H126" s="99" t="s">
        <v>121</v>
      </c>
      <c r="I126" s="190" t="s">
        <v>248</v>
      </c>
      <c r="J126" s="151">
        <f>+K126</f>
        <v>5000</v>
      </c>
      <c r="K126" s="151">
        <v>5000</v>
      </c>
      <c r="L126" s="3"/>
      <c r="M126" s="3"/>
      <c r="N126" s="3"/>
      <c r="O126" s="3"/>
      <c r="P126" s="3"/>
      <c r="Q126" s="3"/>
      <c r="R126" s="3">
        <f>+S126</f>
        <v>5000</v>
      </c>
      <c r="S126" s="3">
        <v>5000</v>
      </c>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12"/>
      <c r="AR126" s="12"/>
      <c r="AS126" s="12"/>
      <c r="AT126" s="12"/>
      <c r="AU126" s="12"/>
      <c r="AV126" s="12"/>
      <c r="AW126" s="12"/>
      <c r="AX126" s="3"/>
      <c r="AY126" s="3"/>
      <c r="AZ126" s="3"/>
      <c r="BA126" s="3">
        <f>+BB126</f>
        <v>5000</v>
      </c>
      <c r="BB126" s="3">
        <v>5000</v>
      </c>
      <c r="BC126" s="3"/>
      <c r="BD126" s="3"/>
      <c r="BE126" s="145" t="s">
        <v>142</v>
      </c>
      <c r="BF126" s="57"/>
    </row>
    <row r="127" spans="1:58" s="146" customFormat="1" ht="38.25" customHeight="1">
      <c r="A127" s="72">
        <v>2</v>
      </c>
      <c r="B127" s="192" t="s">
        <v>249</v>
      </c>
      <c r="C127" s="137"/>
      <c r="D127" s="137"/>
      <c r="E127" s="139"/>
      <c r="F127" s="137"/>
      <c r="G127" s="99"/>
      <c r="H127" s="99">
        <v>2019</v>
      </c>
      <c r="I127" s="190" t="s">
        <v>250</v>
      </c>
      <c r="J127" s="151">
        <f>+K127</f>
        <v>10000</v>
      </c>
      <c r="K127" s="151">
        <v>10000</v>
      </c>
      <c r="L127" s="3"/>
      <c r="M127" s="3"/>
      <c r="N127" s="3"/>
      <c r="O127" s="3"/>
      <c r="P127" s="3"/>
      <c r="Q127" s="3"/>
      <c r="R127" s="3">
        <f>+S127</f>
        <v>10000</v>
      </c>
      <c r="S127" s="3">
        <v>10000</v>
      </c>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12"/>
      <c r="AR127" s="12"/>
      <c r="AS127" s="12"/>
      <c r="AT127" s="12"/>
      <c r="AU127" s="12"/>
      <c r="AV127" s="12"/>
      <c r="AW127" s="12"/>
      <c r="AX127" s="3"/>
      <c r="AY127" s="3"/>
      <c r="AZ127" s="3"/>
      <c r="BA127" s="3">
        <f>+BB127</f>
        <v>10000</v>
      </c>
      <c r="BB127" s="3">
        <v>10000</v>
      </c>
      <c r="BC127" s="3"/>
      <c r="BD127" s="3"/>
      <c r="BE127" s="145" t="s">
        <v>251</v>
      </c>
      <c r="BF127" s="57"/>
    </row>
    <row r="128" spans="1:58" s="89" customFormat="1" ht="27" customHeight="1">
      <c r="A128" s="126"/>
      <c r="B128" s="86" t="s">
        <v>90</v>
      </c>
      <c r="C128" s="87"/>
      <c r="D128" s="87"/>
      <c r="E128" s="87"/>
      <c r="F128" s="87"/>
      <c r="G128" s="87"/>
      <c r="H128" s="87"/>
      <c r="I128" s="8"/>
      <c r="J128" s="4"/>
      <c r="K128" s="4"/>
      <c r="L128" s="4"/>
      <c r="M128" s="4"/>
      <c r="N128" s="4"/>
      <c r="O128" s="4"/>
      <c r="P128" s="3"/>
      <c r="Q128" s="3"/>
      <c r="R128" s="4"/>
      <c r="S128" s="4"/>
      <c r="T128" s="4"/>
      <c r="U128" s="4"/>
      <c r="V128" s="4"/>
      <c r="W128" s="4"/>
      <c r="X128" s="4"/>
      <c r="Y128" s="4"/>
      <c r="Z128" s="4"/>
      <c r="AA128" s="4"/>
      <c r="AB128" s="4">
        <v>20832</v>
      </c>
      <c r="AC128" s="4"/>
      <c r="AD128" s="4"/>
      <c r="AE128" s="4">
        <f>W128+AA128</f>
        <v>0</v>
      </c>
      <c r="AF128" s="4"/>
      <c r="AG128" s="4"/>
      <c r="AH128" s="4"/>
      <c r="AI128" s="4"/>
      <c r="AJ128" s="4"/>
      <c r="AK128" s="4">
        <f t="shared" si="103"/>
        <v>0</v>
      </c>
      <c r="AL128" s="4">
        <f t="shared" si="103"/>
        <v>0</v>
      </c>
      <c r="AM128" s="4"/>
      <c r="AN128" s="4">
        <v>21840.463948867291</v>
      </c>
      <c r="AO128" s="4"/>
      <c r="AP128" s="4"/>
      <c r="AQ128" s="22"/>
      <c r="AR128" s="22"/>
      <c r="AS128" s="22"/>
      <c r="AT128" s="22"/>
      <c r="AU128" s="22">
        <v>25819</v>
      </c>
      <c r="AV128" s="22"/>
      <c r="AW128" s="22"/>
      <c r="AX128" s="4"/>
      <c r="AY128" s="4"/>
      <c r="AZ128" s="4"/>
      <c r="BA128" s="4"/>
      <c r="BB128" s="4"/>
      <c r="BC128" s="4"/>
      <c r="BD128" s="4"/>
      <c r="BE128" s="134"/>
    </row>
    <row r="129" spans="1:58" s="115" customFormat="1" ht="33.6" customHeight="1">
      <c r="A129" s="126" t="s">
        <v>252</v>
      </c>
      <c r="B129" s="127" t="s">
        <v>253</v>
      </c>
      <c r="C129" s="87"/>
      <c r="D129" s="87"/>
      <c r="E129" s="87"/>
      <c r="F129" s="87"/>
      <c r="G129" s="92"/>
      <c r="H129" s="87"/>
      <c r="I129" s="8"/>
      <c r="J129" s="4">
        <f>J130</f>
        <v>359800</v>
      </c>
      <c r="K129" s="4">
        <f t="shared" ref="K129:BA130" si="112">K130</f>
        <v>64500</v>
      </c>
      <c r="L129" s="4">
        <f t="shared" si="112"/>
        <v>217569</v>
      </c>
      <c r="M129" s="4">
        <f t="shared" si="112"/>
        <v>0</v>
      </c>
      <c r="N129" s="4">
        <f t="shared" si="112"/>
        <v>0</v>
      </c>
      <c r="O129" s="4">
        <f t="shared" si="112"/>
        <v>0</v>
      </c>
      <c r="P129" s="4">
        <f t="shared" si="112"/>
        <v>217569</v>
      </c>
      <c r="Q129" s="4">
        <f t="shared" si="112"/>
        <v>0</v>
      </c>
      <c r="R129" s="4">
        <f t="shared" si="112"/>
        <v>123949</v>
      </c>
      <c r="S129" s="4">
        <f t="shared" si="112"/>
        <v>54921</v>
      </c>
      <c r="T129" s="4">
        <f t="shared" si="112"/>
        <v>0</v>
      </c>
      <c r="U129" s="4">
        <f t="shared" si="112"/>
        <v>0</v>
      </c>
      <c r="V129" s="4">
        <f t="shared" si="112"/>
        <v>0</v>
      </c>
      <c r="W129" s="4">
        <f t="shared" si="112"/>
        <v>0</v>
      </c>
      <c r="X129" s="4">
        <f t="shared" si="112"/>
        <v>0</v>
      </c>
      <c r="Y129" s="4">
        <f t="shared" si="112"/>
        <v>0</v>
      </c>
      <c r="Z129" s="4">
        <f t="shared" si="112"/>
        <v>0</v>
      </c>
      <c r="AA129" s="4">
        <f t="shared" si="112"/>
        <v>4000</v>
      </c>
      <c r="AB129" s="4">
        <f t="shared" si="112"/>
        <v>4000</v>
      </c>
      <c r="AC129" s="4">
        <f t="shared" si="112"/>
        <v>0</v>
      </c>
      <c r="AD129" s="4">
        <f t="shared" si="112"/>
        <v>0</v>
      </c>
      <c r="AE129" s="4">
        <f t="shared" si="112"/>
        <v>4000</v>
      </c>
      <c r="AF129" s="4">
        <f t="shared" si="112"/>
        <v>4000</v>
      </c>
      <c r="AG129" s="4">
        <f t="shared" si="112"/>
        <v>0</v>
      </c>
      <c r="AH129" s="4">
        <f t="shared" si="112"/>
        <v>0</v>
      </c>
      <c r="AI129" s="4">
        <f t="shared" si="112"/>
        <v>15000</v>
      </c>
      <c r="AJ129" s="4">
        <f t="shared" si="112"/>
        <v>15000</v>
      </c>
      <c r="AK129" s="4">
        <f t="shared" si="112"/>
        <v>0</v>
      </c>
      <c r="AL129" s="4">
        <f t="shared" si="112"/>
        <v>0</v>
      </c>
      <c r="AM129" s="4">
        <f t="shared" si="112"/>
        <v>4000</v>
      </c>
      <c r="AN129" s="4">
        <f t="shared" si="112"/>
        <v>4000</v>
      </c>
      <c r="AO129" s="4">
        <f t="shared" si="112"/>
        <v>0</v>
      </c>
      <c r="AP129" s="4">
        <f t="shared" si="112"/>
        <v>0</v>
      </c>
      <c r="AQ129" s="4">
        <f t="shared" si="112"/>
        <v>4000</v>
      </c>
      <c r="AR129" s="4">
        <f t="shared" si="112"/>
        <v>8000</v>
      </c>
      <c r="AS129" s="4">
        <f t="shared" si="112"/>
        <v>8000</v>
      </c>
      <c r="AT129" s="4">
        <f t="shared" si="112"/>
        <v>14258</v>
      </c>
      <c r="AU129" s="4">
        <f t="shared" si="112"/>
        <v>14258</v>
      </c>
      <c r="AV129" s="4">
        <f t="shared" si="112"/>
        <v>0</v>
      </c>
      <c r="AW129" s="4">
        <f t="shared" si="112"/>
        <v>0</v>
      </c>
      <c r="AX129" s="4">
        <f t="shared" si="112"/>
        <v>18258</v>
      </c>
      <c r="AY129" s="4">
        <f t="shared" si="112"/>
        <v>22258</v>
      </c>
      <c r="AZ129" s="4">
        <f t="shared" si="112"/>
        <v>22258</v>
      </c>
      <c r="BA129" s="4">
        <f t="shared" si="112"/>
        <v>3900</v>
      </c>
      <c r="BB129" s="4">
        <f>BB130</f>
        <v>3900</v>
      </c>
      <c r="BC129" s="4">
        <f t="shared" ref="BC129:BD129" si="113">BC130</f>
        <v>0</v>
      </c>
      <c r="BD129" s="4">
        <f t="shared" si="113"/>
        <v>0</v>
      </c>
      <c r="BE129" s="134"/>
      <c r="BF129" s="89"/>
    </row>
    <row r="130" spans="1:58" s="123" customFormat="1" ht="29.45" customHeight="1">
      <c r="A130" s="85" t="s">
        <v>172</v>
      </c>
      <c r="B130" s="91" t="s">
        <v>104</v>
      </c>
      <c r="C130" s="193"/>
      <c r="D130" s="193"/>
      <c r="E130" s="193"/>
      <c r="F130" s="193"/>
      <c r="G130" s="121"/>
      <c r="H130" s="121"/>
      <c r="I130" s="5"/>
      <c r="J130" s="4">
        <f>J131</f>
        <v>359800</v>
      </c>
      <c r="K130" s="4">
        <f t="shared" si="112"/>
        <v>64500</v>
      </c>
      <c r="L130" s="4">
        <f t="shared" si="112"/>
        <v>217569</v>
      </c>
      <c r="M130" s="4">
        <f t="shared" si="112"/>
        <v>0</v>
      </c>
      <c r="N130" s="4">
        <f t="shared" si="112"/>
        <v>0</v>
      </c>
      <c r="O130" s="4">
        <f t="shared" si="112"/>
        <v>0</v>
      </c>
      <c r="P130" s="4">
        <f t="shared" si="112"/>
        <v>217569</v>
      </c>
      <c r="Q130" s="4">
        <f t="shared" si="112"/>
        <v>0</v>
      </c>
      <c r="R130" s="4">
        <f t="shared" si="112"/>
        <v>123949</v>
      </c>
      <c r="S130" s="4">
        <f t="shared" si="112"/>
        <v>54921</v>
      </c>
      <c r="T130" s="4">
        <f t="shared" si="112"/>
        <v>0</v>
      </c>
      <c r="U130" s="4">
        <f t="shared" si="112"/>
        <v>0</v>
      </c>
      <c r="V130" s="4">
        <f t="shared" si="112"/>
        <v>0</v>
      </c>
      <c r="W130" s="4">
        <f t="shared" si="112"/>
        <v>0</v>
      </c>
      <c r="X130" s="4">
        <f t="shared" si="112"/>
        <v>0</v>
      </c>
      <c r="Y130" s="4">
        <f t="shared" si="112"/>
        <v>0</v>
      </c>
      <c r="Z130" s="4">
        <f t="shared" si="112"/>
        <v>0</v>
      </c>
      <c r="AA130" s="4">
        <f t="shared" si="112"/>
        <v>4000</v>
      </c>
      <c r="AB130" s="4">
        <f t="shared" si="112"/>
        <v>4000</v>
      </c>
      <c r="AC130" s="4">
        <f t="shared" si="112"/>
        <v>0</v>
      </c>
      <c r="AD130" s="4">
        <f t="shared" si="112"/>
        <v>0</v>
      </c>
      <c r="AE130" s="4">
        <f t="shared" si="112"/>
        <v>4000</v>
      </c>
      <c r="AF130" s="4">
        <f t="shared" si="112"/>
        <v>4000</v>
      </c>
      <c r="AG130" s="4">
        <f t="shared" si="112"/>
        <v>0</v>
      </c>
      <c r="AH130" s="4">
        <f t="shared" si="112"/>
        <v>0</v>
      </c>
      <c r="AI130" s="4">
        <f t="shared" si="112"/>
        <v>15000</v>
      </c>
      <c r="AJ130" s="4">
        <f t="shared" si="112"/>
        <v>15000</v>
      </c>
      <c r="AK130" s="4">
        <f t="shared" si="112"/>
        <v>0</v>
      </c>
      <c r="AL130" s="4">
        <f t="shared" si="112"/>
        <v>0</v>
      </c>
      <c r="AM130" s="4">
        <f t="shared" si="112"/>
        <v>4000</v>
      </c>
      <c r="AN130" s="4">
        <f t="shared" si="112"/>
        <v>4000</v>
      </c>
      <c r="AO130" s="4">
        <f t="shared" si="112"/>
        <v>0</v>
      </c>
      <c r="AP130" s="4">
        <f t="shared" si="112"/>
        <v>0</v>
      </c>
      <c r="AQ130" s="22">
        <f t="shared" si="112"/>
        <v>4000</v>
      </c>
      <c r="AR130" s="22">
        <f t="shared" si="112"/>
        <v>8000</v>
      </c>
      <c r="AS130" s="22">
        <f t="shared" si="112"/>
        <v>8000</v>
      </c>
      <c r="AT130" s="22">
        <f t="shared" si="112"/>
        <v>14258</v>
      </c>
      <c r="AU130" s="22">
        <f t="shared" si="112"/>
        <v>14258</v>
      </c>
      <c r="AV130" s="22">
        <f t="shared" si="112"/>
        <v>0</v>
      </c>
      <c r="AW130" s="22">
        <f t="shared" si="112"/>
        <v>0</v>
      </c>
      <c r="AX130" s="4">
        <f t="shared" si="112"/>
        <v>18258</v>
      </c>
      <c r="AY130" s="4">
        <f t="shared" si="112"/>
        <v>22258</v>
      </c>
      <c r="AZ130" s="4">
        <f t="shared" si="112"/>
        <v>22258</v>
      </c>
      <c r="BA130" s="4">
        <f t="shared" si="112"/>
        <v>3900</v>
      </c>
      <c r="BB130" s="4">
        <f t="shared" ref="BB130:BD130" si="114">BB131</f>
        <v>3900</v>
      </c>
      <c r="BC130" s="22">
        <f t="shared" si="114"/>
        <v>0</v>
      </c>
      <c r="BD130" s="22">
        <f t="shared" si="114"/>
        <v>0</v>
      </c>
      <c r="BE130" s="87"/>
      <c r="BF130" s="125"/>
    </row>
    <row r="131" spans="1:58" s="123" customFormat="1" ht="35.450000000000003" customHeight="1">
      <c r="A131" s="142" t="s">
        <v>150</v>
      </c>
      <c r="B131" s="93" t="s">
        <v>161</v>
      </c>
      <c r="C131" s="193"/>
      <c r="D131" s="193"/>
      <c r="E131" s="193"/>
      <c r="F131" s="193"/>
      <c r="G131" s="121"/>
      <c r="H131" s="121"/>
      <c r="I131" s="5"/>
      <c r="J131" s="4">
        <f>J132+J133</f>
        <v>359800</v>
      </c>
      <c r="K131" s="4">
        <f t="shared" ref="K131:BD131" si="115">K132+K133</f>
        <v>64500</v>
      </c>
      <c r="L131" s="4">
        <f t="shared" si="115"/>
        <v>217569</v>
      </c>
      <c r="M131" s="4">
        <f t="shared" si="115"/>
        <v>0</v>
      </c>
      <c r="N131" s="4">
        <f t="shared" si="115"/>
        <v>0</v>
      </c>
      <c r="O131" s="4">
        <f t="shared" si="115"/>
        <v>0</v>
      </c>
      <c r="P131" s="4">
        <f t="shared" si="115"/>
        <v>217569</v>
      </c>
      <c r="Q131" s="4">
        <f t="shared" si="115"/>
        <v>0</v>
      </c>
      <c r="R131" s="4">
        <f t="shared" si="115"/>
        <v>123949</v>
      </c>
      <c r="S131" s="4">
        <f t="shared" si="115"/>
        <v>54921</v>
      </c>
      <c r="T131" s="4">
        <f t="shared" si="115"/>
        <v>0</v>
      </c>
      <c r="U131" s="4">
        <f t="shared" si="115"/>
        <v>0</v>
      </c>
      <c r="V131" s="4">
        <f t="shared" si="115"/>
        <v>0</v>
      </c>
      <c r="W131" s="4">
        <f t="shared" si="115"/>
        <v>0</v>
      </c>
      <c r="X131" s="4">
        <f t="shared" si="115"/>
        <v>0</v>
      </c>
      <c r="Y131" s="4">
        <f t="shared" si="115"/>
        <v>0</v>
      </c>
      <c r="Z131" s="4">
        <f t="shared" si="115"/>
        <v>0</v>
      </c>
      <c r="AA131" s="4">
        <f t="shared" si="115"/>
        <v>4000</v>
      </c>
      <c r="AB131" s="4">
        <f t="shared" si="115"/>
        <v>4000</v>
      </c>
      <c r="AC131" s="4">
        <f t="shared" si="115"/>
        <v>0</v>
      </c>
      <c r="AD131" s="4">
        <f t="shared" si="115"/>
        <v>0</v>
      </c>
      <c r="AE131" s="4">
        <f t="shared" si="115"/>
        <v>4000</v>
      </c>
      <c r="AF131" s="4">
        <f t="shared" si="115"/>
        <v>4000</v>
      </c>
      <c r="AG131" s="4">
        <f t="shared" si="115"/>
        <v>0</v>
      </c>
      <c r="AH131" s="4">
        <f t="shared" si="115"/>
        <v>0</v>
      </c>
      <c r="AI131" s="4">
        <f t="shared" si="115"/>
        <v>15000</v>
      </c>
      <c r="AJ131" s="4">
        <f t="shared" si="115"/>
        <v>15000</v>
      </c>
      <c r="AK131" s="4">
        <f t="shared" si="115"/>
        <v>0</v>
      </c>
      <c r="AL131" s="4">
        <f t="shared" si="115"/>
        <v>0</v>
      </c>
      <c r="AM131" s="4">
        <f t="shared" si="115"/>
        <v>4000</v>
      </c>
      <c r="AN131" s="4">
        <f t="shared" si="115"/>
        <v>4000</v>
      </c>
      <c r="AO131" s="4">
        <f t="shared" si="115"/>
        <v>0</v>
      </c>
      <c r="AP131" s="4">
        <f t="shared" si="115"/>
        <v>0</v>
      </c>
      <c r="AQ131" s="4">
        <f t="shared" si="115"/>
        <v>4000</v>
      </c>
      <c r="AR131" s="4">
        <f t="shared" si="115"/>
        <v>8000</v>
      </c>
      <c r="AS131" s="4">
        <f t="shared" si="115"/>
        <v>8000</v>
      </c>
      <c r="AT131" s="4">
        <f t="shared" si="115"/>
        <v>14258</v>
      </c>
      <c r="AU131" s="4">
        <f t="shared" si="115"/>
        <v>14258</v>
      </c>
      <c r="AV131" s="4">
        <f t="shared" si="115"/>
        <v>0</v>
      </c>
      <c r="AW131" s="4">
        <f t="shared" si="115"/>
        <v>0</v>
      </c>
      <c r="AX131" s="4">
        <f t="shared" si="115"/>
        <v>18258</v>
      </c>
      <c r="AY131" s="4">
        <f t="shared" si="115"/>
        <v>22258</v>
      </c>
      <c r="AZ131" s="4">
        <f t="shared" si="115"/>
        <v>22258</v>
      </c>
      <c r="BA131" s="4">
        <f t="shared" si="115"/>
        <v>3900</v>
      </c>
      <c r="BB131" s="4">
        <f t="shared" si="115"/>
        <v>3900</v>
      </c>
      <c r="BC131" s="4">
        <f t="shared" si="115"/>
        <v>0</v>
      </c>
      <c r="BD131" s="4">
        <f t="shared" si="115"/>
        <v>0</v>
      </c>
      <c r="BE131" s="87"/>
      <c r="BF131" s="125"/>
    </row>
    <row r="132" spans="1:58" s="146" customFormat="1" ht="63.75" customHeight="1">
      <c r="A132" s="155">
        <v>1</v>
      </c>
      <c r="B132" s="194" t="s">
        <v>254</v>
      </c>
      <c r="C132" s="174" t="s">
        <v>255</v>
      </c>
      <c r="D132" s="174"/>
      <c r="E132" s="174" t="s">
        <v>256</v>
      </c>
      <c r="F132" s="174"/>
      <c r="G132" s="99" t="s">
        <v>257</v>
      </c>
      <c r="H132" s="99" t="s">
        <v>258</v>
      </c>
      <c r="I132" s="15" t="s">
        <v>259</v>
      </c>
      <c r="J132" s="3">
        <v>355300</v>
      </c>
      <c r="K132" s="3">
        <v>60000</v>
      </c>
      <c r="L132" s="3">
        <v>217569</v>
      </c>
      <c r="M132" s="3"/>
      <c r="N132" s="3"/>
      <c r="O132" s="3"/>
      <c r="P132" s="3">
        <f>L132+W132</f>
        <v>217569</v>
      </c>
      <c r="Q132" s="3">
        <f>M132+X132</f>
        <v>0</v>
      </c>
      <c r="R132" s="3">
        <v>120000</v>
      </c>
      <c r="S132" s="3">
        <v>50972</v>
      </c>
      <c r="T132" s="3"/>
      <c r="U132" s="3"/>
      <c r="V132" s="3"/>
      <c r="W132" s="3"/>
      <c r="X132" s="3"/>
      <c r="Y132" s="3"/>
      <c r="Z132" s="3"/>
      <c r="AA132" s="3">
        <v>4000</v>
      </c>
      <c r="AB132" s="3">
        <v>4000</v>
      </c>
      <c r="AC132" s="3"/>
      <c r="AD132" s="3"/>
      <c r="AE132" s="3">
        <f>W132+AA132</f>
        <v>4000</v>
      </c>
      <c r="AF132" s="3">
        <f>X132+AB132</f>
        <v>4000</v>
      </c>
      <c r="AG132" s="3"/>
      <c r="AH132" s="3"/>
      <c r="AI132" s="3">
        <v>15000</v>
      </c>
      <c r="AJ132" s="3">
        <f>AI132</f>
        <v>15000</v>
      </c>
      <c r="AK132" s="3">
        <f>AO132</f>
        <v>0</v>
      </c>
      <c r="AL132" s="3">
        <f>AP132</f>
        <v>0</v>
      </c>
      <c r="AM132" s="3">
        <f>AN132</f>
        <v>4000</v>
      </c>
      <c r="AN132" s="3">
        <v>4000</v>
      </c>
      <c r="AO132" s="3"/>
      <c r="AP132" s="3"/>
      <c r="AQ132" s="3">
        <f>V132+AN132</f>
        <v>4000</v>
      </c>
      <c r="AR132" s="3">
        <f t="shared" ref="AR132" si="116">AS132</f>
        <v>8000</v>
      </c>
      <c r="AS132" s="3">
        <f t="shared" ref="AS132" si="117">AF132+AN132</f>
        <v>8000</v>
      </c>
      <c r="AT132" s="3">
        <f t="shared" ref="AT132" si="118">AU132</f>
        <v>14258</v>
      </c>
      <c r="AU132" s="3">
        <v>14258</v>
      </c>
      <c r="AV132" s="3"/>
      <c r="AW132" s="3"/>
      <c r="AX132" s="3">
        <f t="shared" ref="AX132" si="119">AQ132+AU132</f>
        <v>18258</v>
      </c>
      <c r="AY132" s="3">
        <f t="shared" ref="AY132" si="120">AZ132</f>
        <v>22258</v>
      </c>
      <c r="AZ132" s="3">
        <f t="shared" ref="AZ132" si="121">AS132+AU132</f>
        <v>22258</v>
      </c>
      <c r="BA132" s="3">
        <f t="shared" ref="BA132" si="122">BB132</f>
        <v>0</v>
      </c>
      <c r="BB132" s="3"/>
      <c r="BC132" s="3"/>
      <c r="BD132" s="3"/>
      <c r="BE132" s="147" t="s">
        <v>260</v>
      </c>
    </row>
    <row r="133" spans="1:58" s="146" customFormat="1" ht="43.5" customHeight="1">
      <c r="A133" s="155">
        <v>2</v>
      </c>
      <c r="B133" s="195" t="s">
        <v>261</v>
      </c>
      <c r="C133" s="174"/>
      <c r="D133" s="174"/>
      <c r="E133" s="174"/>
      <c r="F133" s="174"/>
      <c r="G133" s="99"/>
      <c r="H133" s="99"/>
      <c r="I133" s="196" t="s">
        <v>262</v>
      </c>
      <c r="J133" s="173">
        <f>K133</f>
        <v>4500</v>
      </c>
      <c r="K133" s="173">
        <v>4500</v>
      </c>
      <c r="L133" s="3"/>
      <c r="M133" s="3"/>
      <c r="N133" s="3"/>
      <c r="O133" s="3"/>
      <c r="P133" s="3"/>
      <c r="Q133" s="3"/>
      <c r="R133" s="3">
        <f>+S133</f>
        <v>3949</v>
      </c>
      <c r="S133" s="3">
        <v>3949</v>
      </c>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12"/>
      <c r="AR133" s="12"/>
      <c r="AS133" s="12"/>
      <c r="AT133" s="12"/>
      <c r="AU133" s="12"/>
      <c r="AV133" s="12"/>
      <c r="AW133" s="12"/>
      <c r="AX133" s="3"/>
      <c r="AY133" s="3"/>
      <c r="AZ133" s="3"/>
      <c r="BA133" s="3">
        <f>+BB133</f>
        <v>3900</v>
      </c>
      <c r="BB133" s="3">
        <v>3900</v>
      </c>
      <c r="BC133" s="3"/>
      <c r="BD133" s="3"/>
      <c r="BE133" s="147"/>
      <c r="BF133" s="57"/>
    </row>
    <row r="134" spans="1:58" s="89" customFormat="1" ht="33.75" customHeight="1">
      <c r="A134" s="126"/>
      <c r="B134" s="86" t="s">
        <v>90</v>
      </c>
      <c r="C134" s="87"/>
      <c r="D134" s="87"/>
      <c r="E134" s="87"/>
      <c r="F134" s="87"/>
      <c r="G134" s="87"/>
      <c r="H134" s="87"/>
      <c r="I134" s="8" t="s">
        <v>54</v>
      </c>
      <c r="J134" s="4"/>
      <c r="K134" s="4"/>
      <c r="L134" s="4"/>
      <c r="M134" s="4"/>
      <c r="N134" s="4"/>
      <c r="O134" s="4"/>
      <c r="P134" s="3"/>
      <c r="Q134" s="3"/>
      <c r="R134" s="4"/>
      <c r="S134" s="4"/>
      <c r="T134" s="4"/>
      <c r="U134" s="4"/>
      <c r="V134" s="4"/>
      <c r="W134" s="4"/>
      <c r="X134" s="4"/>
      <c r="Y134" s="4"/>
      <c r="Z134" s="4"/>
      <c r="AA134" s="4"/>
      <c r="AB134" s="4">
        <v>28507</v>
      </c>
      <c r="AC134" s="4"/>
      <c r="AD134" s="4"/>
      <c r="AE134" s="4"/>
      <c r="AF134" s="4"/>
      <c r="AG134" s="4"/>
      <c r="AH134" s="4"/>
      <c r="AI134" s="4"/>
      <c r="AJ134" s="4"/>
      <c r="AK134" s="4"/>
      <c r="AL134" s="4"/>
      <c r="AM134" s="4"/>
      <c r="AN134" s="4">
        <v>29887.755074684086</v>
      </c>
      <c r="AO134" s="4"/>
      <c r="AP134" s="4"/>
      <c r="AQ134" s="22"/>
      <c r="AR134" s="22"/>
      <c r="AS134" s="22"/>
      <c r="AT134" s="22"/>
      <c r="AU134" s="22">
        <v>35332</v>
      </c>
      <c r="AV134" s="22"/>
      <c r="AW134" s="22"/>
      <c r="AX134" s="4"/>
      <c r="AY134" s="4"/>
      <c r="AZ134" s="4"/>
      <c r="BA134" s="4"/>
      <c r="BB134" s="4"/>
      <c r="BC134" s="4"/>
      <c r="BD134" s="4"/>
      <c r="BE134" s="134"/>
    </row>
    <row r="135" spans="1:58" s="115" customFormat="1" ht="33.75" customHeight="1">
      <c r="A135" s="126" t="s">
        <v>263</v>
      </c>
      <c r="B135" s="127" t="s">
        <v>264</v>
      </c>
      <c r="C135" s="87"/>
      <c r="D135" s="87"/>
      <c r="E135" s="87"/>
      <c r="F135" s="87"/>
      <c r="G135" s="92"/>
      <c r="H135" s="87"/>
      <c r="I135" s="8"/>
      <c r="J135" s="4">
        <f>J136+J139+J147+J149</f>
        <v>122880</v>
      </c>
      <c r="K135" s="4">
        <f t="shared" ref="K135:BD135" si="123">K136+K139+K147+K149</f>
        <v>97576</v>
      </c>
      <c r="L135" s="4">
        <f t="shared" si="123"/>
        <v>0</v>
      </c>
      <c r="M135" s="4">
        <f t="shared" si="123"/>
        <v>0</v>
      </c>
      <c r="N135" s="4">
        <f t="shared" si="123"/>
        <v>0</v>
      </c>
      <c r="O135" s="4">
        <f t="shared" si="123"/>
        <v>0</v>
      </c>
      <c r="P135" s="4">
        <f t="shared" si="123"/>
        <v>642</v>
      </c>
      <c r="Q135" s="4">
        <f t="shared" si="123"/>
        <v>642</v>
      </c>
      <c r="R135" s="4">
        <f t="shared" si="123"/>
        <v>87606</v>
      </c>
      <c r="S135" s="4">
        <f t="shared" si="123"/>
        <v>87606</v>
      </c>
      <c r="T135" s="4">
        <f t="shared" si="123"/>
        <v>0</v>
      </c>
      <c r="U135" s="4">
        <f t="shared" si="123"/>
        <v>0</v>
      </c>
      <c r="V135" s="4">
        <f t="shared" si="123"/>
        <v>3470</v>
      </c>
      <c r="W135" s="4">
        <f t="shared" si="123"/>
        <v>642</v>
      </c>
      <c r="X135" s="4">
        <f t="shared" si="123"/>
        <v>642</v>
      </c>
      <c r="Y135" s="4">
        <f t="shared" si="123"/>
        <v>0</v>
      </c>
      <c r="Z135" s="4">
        <f t="shared" si="123"/>
        <v>0</v>
      </c>
      <c r="AA135" s="4">
        <f t="shared" si="123"/>
        <v>3506</v>
      </c>
      <c r="AB135" s="4">
        <f t="shared" si="123"/>
        <v>3506</v>
      </c>
      <c r="AC135" s="4">
        <f t="shared" si="123"/>
        <v>0</v>
      </c>
      <c r="AD135" s="4">
        <f t="shared" si="123"/>
        <v>0</v>
      </c>
      <c r="AE135" s="4">
        <f t="shared" si="123"/>
        <v>4148</v>
      </c>
      <c r="AF135" s="4">
        <f t="shared" si="123"/>
        <v>4148</v>
      </c>
      <c r="AG135" s="4">
        <f t="shared" si="123"/>
        <v>0</v>
      </c>
      <c r="AH135" s="4">
        <f t="shared" si="123"/>
        <v>0</v>
      </c>
      <c r="AI135" s="4">
        <f t="shared" si="123"/>
        <v>21271.333333333336</v>
      </c>
      <c r="AJ135" s="4">
        <f t="shared" si="123"/>
        <v>21271.333333333336</v>
      </c>
      <c r="AK135" s="4">
        <f t="shared" si="123"/>
        <v>0</v>
      </c>
      <c r="AL135" s="4">
        <f t="shared" si="123"/>
        <v>0</v>
      </c>
      <c r="AM135" s="4">
        <f t="shared" si="123"/>
        <v>17138</v>
      </c>
      <c r="AN135" s="4">
        <f t="shared" si="123"/>
        <v>17138</v>
      </c>
      <c r="AO135" s="4">
        <f t="shared" si="123"/>
        <v>0</v>
      </c>
      <c r="AP135" s="4">
        <f t="shared" si="123"/>
        <v>0</v>
      </c>
      <c r="AQ135" s="4">
        <f t="shared" si="123"/>
        <v>20658</v>
      </c>
      <c r="AR135" s="4">
        <f t="shared" si="123"/>
        <v>21336</v>
      </c>
      <c r="AS135" s="4">
        <f t="shared" si="123"/>
        <v>21336</v>
      </c>
      <c r="AT135" s="4">
        <f t="shared" si="123"/>
        <v>29137</v>
      </c>
      <c r="AU135" s="4">
        <f t="shared" si="123"/>
        <v>29137</v>
      </c>
      <c r="AV135" s="4">
        <f t="shared" si="123"/>
        <v>0</v>
      </c>
      <c r="AW135" s="4">
        <f t="shared" si="123"/>
        <v>0</v>
      </c>
      <c r="AX135" s="4">
        <f t="shared" si="123"/>
        <v>49795</v>
      </c>
      <c r="AY135" s="4">
        <f t="shared" si="123"/>
        <v>50473</v>
      </c>
      <c r="AZ135" s="4">
        <f t="shared" si="123"/>
        <v>50473</v>
      </c>
      <c r="BA135" s="4">
        <f t="shared" si="123"/>
        <v>36966</v>
      </c>
      <c r="BB135" s="4">
        <f>BB136+BB139+BB147+BB149</f>
        <v>36966</v>
      </c>
      <c r="BC135" s="4">
        <f t="shared" si="123"/>
        <v>0</v>
      </c>
      <c r="BD135" s="4">
        <f t="shared" si="123"/>
        <v>0</v>
      </c>
      <c r="BE135" s="134"/>
      <c r="BF135" s="89"/>
    </row>
    <row r="136" spans="1:58" s="115" customFormat="1" ht="32.25" customHeight="1">
      <c r="A136" s="85" t="s">
        <v>92</v>
      </c>
      <c r="B136" s="91" t="s">
        <v>93</v>
      </c>
      <c r="C136" s="87"/>
      <c r="D136" s="87"/>
      <c r="E136" s="87"/>
      <c r="F136" s="87"/>
      <c r="G136" s="87"/>
      <c r="H136" s="197"/>
      <c r="I136" s="8"/>
      <c r="J136" s="9">
        <f>J137</f>
        <v>11000</v>
      </c>
      <c r="K136" s="9">
        <f t="shared" ref="K136:BD136" si="124">K137</f>
        <v>6600</v>
      </c>
      <c r="L136" s="9">
        <f t="shared" si="124"/>
        <v>0</v>
      </c>
      <c r="M136" s="9">
        <f t="shared" si="124"/>
        <v>0</v>
      </c>
      <c r="N136" s="9">
        <f t="shared" si="124"/>
        <v>0</v>
      </c>
      <c r="O136" s="9">
        <f t="shared" si="124"/>
        <v>0</v>
      </c>
      <c r="P136" s="9">
        <f t="shared" si="124"/>
        <v>86</v>
      </c>
      <c r="Q136" s="9">
        <f t="shared" si="124"/>
        <v>86</v>
      </c>
      <c r="R136" s="9">
        <f t="shared" si="124"/>
        <v>11000</v>
      </c>
      <c r="S136" s="9">
        <f t="shared" si="124"/>
        <v>11000</v>
      </c>
      <c r="T136" s="9">
        <f t="shared" si="124"/>
        <v>0</v>
      </c>
      <c r="U136" s="9">
        <f t="shared" si="124"/>
        <v>0</v>
      </c>
      <c r="V136" s="9">
        <f t="shared" si="124"/>
        <v>3200</v>
      </c>
      <c r="W136" s="9">
        <f t="shared" si="124"/>
        <v>86</v>
      </c>
      <c r="X136" s="9">
        <f t="shared" si="124"/>
        <v>86</v>
      </c>
      <c r="Y136" s="9">
        <f t="shared" si="124"/>
        <v>0</v>
      </c>
      <c r="Z136" s="9">
        <f t="shared" si="124"/>
        <v>0</v>
      </c>
      <c r="AA136" s="9">
        <f t="shared" si="124"/>
        <v>3200</v>
      </c>
      <c r="AB136" s="9">
        <f t="shared" si="124"/>
        <v>3200</v>
      </c>
      <c r="AC136" s="9">
        <f t="shared" si="124"/>
        <v>0</v>
      </c>
      <c r="AD136" s="9">
        <f t="shared" si="124"/>
        <v>0</v>
      </c>
      <c r="AE136" s="9">
        <f t="shared" si="124"/>
        <v>3286</v>
      </c>
      <c r="AF136" s="9">
        <f t="shared" si="124"/>
        <v>3286</v>
      </c>
      <c r="AG136" s="9"/>
      <c r="AH136" s="9"/>
      <c r="AI136" s="9">
        <f t="shared" si="124"/>
        <v>2500</v>
      </c>
      <c r="AJ136" s="9">
        <f t="shared" si="124"/>
        <v>2500</v>
      </c>
      <c r="AK136" s="9">
        <f t="shared" si="124"/>
        <v>0</v>
      </c>
      <c r="AL136" s="9">
        <f t="shared" si="124"/>
        <v>0</v>
      </c>
      <c r="AM136" s="9">
        <f t="shared" si="124"/>
        <v>2500</v>
      </c>
      <c r="AN136" s="9">
        <f>AN137</f>
        <v>2500</v>
      </c>
      <c r="AO136" s="9">
        <f t="shared" si="124"/>
        <v>0</v>
      </c>
      <c r="AP136" s="9">
        <f t="shared" si="124"/>
        <v>0</v>
      </c>
      <c r="AQ136" s="28">
        <f t="shared" si="124"/>
        <v>5700</v>
      </c>
      <c r="AR136" s="28">
        <f t="shared" si="124"/>
        <v>5786</v>
      </c>
      <c r="AS136" s="28">
        <f t="shared" si="124"/>
        <v>5786</v>
      </c>
      <c r="AT136" s="28">
        <f t="shared" si="124"/>
        <v>2600</v>
      </c>
      <c r="AU136" s="28">
        <f t="shared" si="124"/>
        <v>2600</v>
      </c>
      <c r="AV136" s="28">
        <f t="shared" si="124"/>
        <v>0</v>
      </c>
      <c r="AW136" s="28">
        <f t="shared" si="124"/>
        <v>0</v>
      </c>
      <c r="AX136" s="9">
        <f t="shared" si="124"/>
        <v>8300</v>
      </c>
      <c r="AY136" s="9">
        <f t="shared" si="124"/>
        <v>8386</v>
      </c>
      <c r="AZ136" s="9">
        <f t="shared" si="124"/>
        <v>8386</v>
      </c>
      <c r="BA136" s="9">
        <f t="shared" si="124"/>
        <v>2600</v>
      </c>
      <c r="BB136" s="9">
        <f t="shared" si="124"/>
        <v>2600</v>
      </c>
      <c r="BC136" s="28">
        <f t="shared" si="124"/>
        <v>0</v>
      </c>
      <c r="BD136" s="28">
        <f t="shared" si="124"/>
        <v>0</v>
      </c>
      <c r="BE136" s="134"/>
      <c r="BF136" s="89"/>
    </row>
    <row r="137" spans="1:58" s="115" customFormat="1" ht="30.75" customHeight="1">
      <c r="A137" s="142" t="s">
        <v>150</v>
      </c>
      <c r="B137" s="93" t="s">
        <v>265</v>
      </c>
      <c r="C137" s="87"/>
      <c r="D137" s="87"/>
      <c r="E137" s="87"/>
      <c r="F137" s="87"/>
      <c r="G137" s="87"/>
      <c r="H137" s="197"/>
      <c r="I137" s="8"/>
      <c r="J137" s="9">
        <f>SUM(J138:J138)</f>
        <v>11000</v>
      </c>
      <c r="K137" s="9">
        <f t="shared" ref="K137:AF137" si="125">SUM(K138:K138)</f>
        <v>6600</v>
      </c>
      <c r="L137" s="9">
        <f t="shared" si="125"/>
        <v>0</v>
      </c>
      <c r="M137" s="9">
        <f t="shared" si="125"/>
        <v>0</v>
      </c>
      <c r="N137" s="9">
        <f t="shared" si="125"/>
        <v>0</v>
      </c>
      <c r="O137" s="9">
        <f t="shared" si="125"/>
        <v>0</v>
      </c>
      <c r="P137" s="9">
        <f t="shared" si="125"/>
        <v>86</v>
      </c>
      <c r="Q137" s="9">
        <f t="shared" si="125"/>
        <v>86</v>
      </c>
      <c r="R137" s="9">
        <f t="shared" si="125"/>
        <v>11000</v>
      </c>
      <c r="S137" s="9">
        <f t="shared" si="125"/>
        <v>11000</v>
      </c>
      <c r="T137" s="9">
        <f t="shared" si="125"/>
        <v>0</v>
      </c>
      <c r="U137" s="9">
        <f t="shared" si="125"/>
        <v>0</v>
      </c>
      <c r="V137" s="9">
        <f t="shared" si="125"/>
        <v>3200</v>
      </c>
      <c r="W137" s="9">
        <f t="shared" si="125"/>
        <v>86</v>
      </c>
      <c r="X137" s="9">
        <f t="shared" si="125"/>
        <v>86</v>
      </c>
      <c r="Y137" s="9">
        <f t="shared" si="125"/>
        <v>0</v>
      </c>
      <c r="Z137" s="9">
        <f t="shared" si="125"/>
        <v>0</v>
      </c>
      <c r="AA137" s="9">
        <f t="shared" si="125"/>
        <v>3200</v>
      </c>
      <c r="AB137" s="9">
        <f t="shared" si="125"/>
        <v>3200</v>
      </c>
      <c r="AC137" s="9">
        <f t="shared" si="125"/>
        <v>0</v>
      </c>
      <c r="AD137" s="9">
        <f t="shared" si="125"/>
        <v>0</v>
      </c>
      <c r="AE137" s="9">
        <f t="shared" si="125"/>
        <v>3286</v>
      </c>
      <c r="AF137" s="9">
        <f t="shared" si="125"/>
        <v>3286</v>
      </c>
      <c r="AG137" s="9"/>
      <c r="AH137" s="9"/>
      <c r="AI137" s="9">
        <f t="shared" ref="AI137:BD137" si="126">SUM(AI138:AI138)</f>
        <v>2500</v>
      </c>
      <c r="AJ137" s="9">
        <f t="shared" si="126"/>
        <v>2500</v>
      </c>
      <c r="AK137" s="9">
        <f t="shared" si="126"/>
        <v>0</v>
      </c>
      <c r="AL137" s="9">
        <f t="shared" si="126"/>
        <v>0</v>
      </c>
      <c r="AM137" s="9">
        <f t="shared" si="126"/>
        <v>2500</v>
      </c>
      <c r="AN137" s="9">
        <f t="shared" si="126"/>
        <v>2500</v>
      </c>
      <c r="AO137" s="9">
        <f t="shared" si="126"/>
        <v>0</v>
      </c>
      <c r="AP137" s="9">
        <f t="shared" si="126"/>
        <v>0</v>
      </c>
      <c r="AQ137" s="28">
        <f t="shared" si="126"/>
        <v>5700</v>
      </c>
      <c r="AR137" s="28">
        <f t="shared" si="126"/>
        <v>5786</v>
      </c>
      <c r="AS137" s="28">
        <f t="shared" si="126"/>
        <v>5786</v>
      </c>
      <c r="AT137" s="28">
        <f t="shared" si="126"/>
        <v>2600</v>
      </c>
      <c r="AU137" s="28">
        <f t="shared" si="126"/>
        <v>2600</v>
      </c>
      <c r="AV137" s="28">
        <f t="shared" si="126"/>
        <v>0</v>
      </c>
      <c r="AW137" s="28">
        <f t="shared" si="126"/>
        <v>0</v>
      </c>
      <c r="AX137" s="9">
        <f t="shared" si="126"/>
        <v>8300</v>
      </c>
      <c r="AY137" s="9">
        <f t="shared" si="126"/>
        <v>8386</v>
      </c>
      <c r="AZ137" s="9">
        <f t="shared" si="126"/>
        <v>8386</v>
      </c>
      <c r="BA137" s="9">
        <f t="shared" si="126"/>
        <v>2600</v>
      </c>
      <c r="BB137" s="9">
        <f t="shared" si="126"/>
        <v>2600</v>
      </c>
      <c r="BC137" s="28">
        <f t="shared" si="126"/>
        <v>0</v>
      </c>
      <c r="BD137" s="28">
        <f t="shared" si="126"/>
        <v>0</v>
      </c>
      <c r="BE137" s="134"/>
      <c r="BF137" s="89"/>
    </row>
    <row r="138" spans="1:58" s="64" customFormat="1" ht="54" customHeight="1">
      <c r="A138" s="198">
        <v>2</v>
      </c>
      <c r="B138" s="199" t="s">
        <v>266</v>
      </c>
      <c r="C138" s="99" t="s">
        <v>267</v>
      </c>
      <c r="D138" s="99"/>
      <c r="E138" s="174" t="s">
        <v>268</v>
      </c>
      <c r="F138" s="99"/>
      <c r="G138" s="149"/>
      <c r="H138" s="149"/>
      <c r="I138" s="32" t="s">
        <v>269</v>
      </c>
      <c r="J138" s="3">
        <v>11000</v>
      </c>
      <c r="K138" s="3">
        <v>6600</v>
      </c>
      <c r="L138" s="3"/>
      <c r="M138" s="3"/>
      <c r="N138" s="3"/>
      <c r="O138" s="3"/>
      <c r="P138" s="3">
        <f t="shared" ref="P138:Q138" si="127">L138+W138</f>
        <v>86</v>
      </c>
      <c r="Q138" s="3">
        <f t="shared" si="127"/>
        <v>86</v>
      </c>
      <c r="R138" s="3">
        <v>11000</v>
      </c>
      <c r="S138" s="3">
        <v>11000</v>
      </c>
      <c r="T138" s="3"/>
      <c r="U138" s="3"/>
      <c r="V138" s="3">
        <v>3200</v>
      </c>
      <c r="W138" s="3">
        <v>86</v>
      </c>
      <c r="X138" s="3">
        <v>86</v>
      </c>
      <c r="Y138" s="3"/>
      <c r="Z138" s="3"/>
      <c r="AA138" s="3">
        <v>3200</v>
      </c>
      <c r="AB138" s="3">
        <v>3200</v>
      </c>
      <c r="AC138" s="3"/>
      <c r="AD138" s="3"/>
      <c r="AE138" s="3">
        <f>W138+AA138</f>
        <v>3286</v>
      </c>
      <c r="AF138" s="3">
        <f>X138+AB138</f>
        <v>3286</v>
      </c>
      <c r="AG138" s="3"/>
      <c r="AH138" s="3"/>
      <c r="AI138" s="3">
        <f t="shared" ref="AI138:AL138" si="128">AM138</f>
        <v>2500</v>
      </c>
      <c r="AJ138" s="3">
        <f t="shared" si="128"/>
        <v>2500</v>
      </c>
      <c r="AK138" s="3">
        <f t="shared" si="128"/>
        <v>0</v>
      </c>
      <c r="AL138" s="3">
        <f t="shared" si="128"/>
        <v>0</v>
      </c>
      <c r="AM138" s="3">
        <v>2500</v>
      </c>
      <c r="AN138" s="3">
        <f>AM138</f>
        <v>2500</v>
      </c>
      <c r="AO138" s="3"/>
      <c r="AP138" s="3"/>
      <c r="AQ138" s="12">
        <f>V138+AN138</f>
        <v>5700</v>
      </c>
      <c r="AR138" s="12">
        <f t="shared" ref="AR138" si="129">AS138</f>
        <v>5786</v>
      </c>
      <c r="AS138" s="12">
        <f t="shared" ref="AS138" si="130">AF138+AN138</f>
        <v>5786</v>
      </c>
      <c r="AT138" s="12">
        <f t="shared" ref="AT138" si="131">AU138</f>
        <v>2600</v>
      </c>
      <c r="AU138" s="12">
        <v>2600</v>
      </c>
      <c r="AV138" s="12"/>
      <c r="AW138" s="12"/>
      <c r="AX138" s="3">
        <f t="shared" ref="AX138" si="132">AQ138+AU138</f>
        <v>8300</v>
      </c>
      <c r="AY138" s="3">
        <f t="shared" ref="AY138" si="133">AZ138</f>
        <v>8386</v>
      </c>
      <c r="AZ138" s="3">
        <f t="shared" ref="AZ138" si="134">AS138+AU138</f>
        <v>8386</v>
      </c>
      <c r="BA138" s="3">
        <f t="shared" ref="BA138" si="135">BB138</f>
        <v>2600</v>
      </c>
      <c r="BB138" s="3">
        <v>2600</v>
      </c>
      <c r="BC138" s="3"/>
      <c r="BD138" s="3"/>
      <c r="BE138" s="145" t="s">
        <v>156</v>
      </c>
      <c r="BF138" s="111"/>
    </row>
    <row r="139" spans="1:58" s="123" customFormat="1" ht="38.25" customHeight="1">
      <c r="A139" s="85" t="s">
        <v>172</v>
      </c>
      <c r="B139" s="91" t="s">
        <v>270</v>
      </c>
      <c r="C139" s="87"/>
      <c r="D139" s="87"/>
      <c r="E139" s="87"/>
      <c r="F139" s="87"/>
      <c r="G139" s="121"/>
      <c r="H139" s="121"/>
      <c r="I139" s="5"/>
      <c r="J139" s="4">
        <f>J140</f>
        <v>58890</v>
      </c>
      <c r="K139" s="4">
        <f t="shared" ref="K139:BD139" si="136">K140</f>
        <v>58890</v>
      </c>
      <c r="L139" s="4">
        <f t="shared" si="136"/>
        <v>0</v>
      </c>
      <c r="M139" s="4">
        <f t="shared" si="136"/>
        <v>0</v>
      </c>
      <c r="N139" s="4">
        <f t="shared" si="136"/>
        <v>0</v>
      </c>
      <c r="O139" s="4">
        <f t="shared" si="136"/>
        <v>0</v>
      </c>
      <c r="P139" s="4">
        <f t="shared" si="136"/>
        <v>556</v>
      </c>
      <c r="Q139" s="4">
        <f t="shared" si="136"/>
        <v>556</v>
      </c>
      <c r="R139" s="4">
        <f t="shared" si="136"/>
        <v>58890</v>
      </c>
      <c r="S139" s="4">
        <f t="shared" si="136"/>
        <v>58890</v>
      </c>
      <c r="T139" s="4">
        <f t="shared" si="136"/>
        <v>0</v>
      </c>
      <c r="U139" s="4">
        <f t="shared" si="136"/>
        <v>0</v>
      </c>
      <c r="V139" s="4">
        <f t="shared" si="136"/>
        <v>270</v>
      </c>
      <c r="W139" s="4">
        <f t="shared" si="136"/>
        <v>556</v>
      </c>
      <c r="X139" s="4">
        <f t="shared" si="136"/>
        <v>556</v>
      </c>
      <c r="Y139" s="4">
        <f t="shared" si="136"/>
        <v>0</v>
      </c>
      <c r="Z139" s="4">
        <f t="shared" si="136"/>
        <v>0</v>
      </c>
      <c r="AA139" s="4">
        <f t="shared" si="136"/>
        <v>306</v>
      </c>
      <c r="AB139" s="4">
        <f t="shared" si="136"/>
        <v>306</v>
      </c>
      <c r="AC139" s="4">
        <f t="shared" si="136"/>
        <v>0</v>
      </c>
      <c r="AD139" s="4">
        <f t="shared" si="136"/>
        <v>0</v>
      </c>
      <c r="AE139" s="4">
        <f t="shared" si="136"/>
        <v>862</v>
      </c>
      <c r="AF139" s="4">
        <f t="shared" si="136"/>
        <v>862</v>
      </c>
      <c r="AG139" s="4"/>
      <c r="AH139" s="4"/>
      <c r="AI139" s="4">
        <f t="shared" si="136"/>
        <v>17771.333333333336</v>
      </c>
      <c r="AJ139" s="4">
        <f t="shared" si="136"/>
        <v>17771.333333333336</v>
      </c>
      <c r="AK139" s="4">
        <f t="shared" si="136"/>
        <v>0</v>
      </c>
      <c r="AL139" s="4">
        <f t="shared" si="136"/>
        <v>0</v>
      </c>
      <c r="AM139" s="4">
        <f t="shared" si="136"/>
        <v>14638</v>
      </c>
      <c r="AN139" s="4">
        <f t="shared" si="136"/>
        <v>14638</v>
      </c>
      <c r="AO139" s="4">
        <f t="shared" si="136"/>
        <v>0</v>
      </c>
      <c r="AP139" s="4">
        <f t="shared" si="136"/>
        <v>0</v>
      </c>
      <c r="AQ139" s="22">
        <f t="shared" si="136"/>
        <v>14908</v>
      </c>
      <c r="AR139" s="22">
        <f t="shared" si="136"/>
        <v>15500</v>
      </c>
      <c r="AS139" s="22">
        <f t="shared" si="136"/>
        <v>15500</v>
      </c>
      <c r="AT139" s="22">
        <f t="shared" si="136"/>
        <v>25037</v>
      </c>
      <c r="AU139" s="22">
        <f t="shared" si="136"/>
        <v>25037</v>
      </c>
      <c r="AV139" s="22">
        <f t="shared" si="136"/>
        <v>0</v>
      </c>
      <c r="AW139" s="22">
        <f t="shared" si="136"/>
        <v>0</v>
      </c>
      <c r="AX139" s="4">
        <f t="shared" si="136"/>
        <v>39945</v>
      </c>
      <c r="AY139" s="4">
        <f t="shared" si="136"/>
        <v>40537</v>
      </c>
      <c r="AZ139" s="4">
        <f t="shared" si="136"/>
        <v>40537</v>
      </c>
      <c r="BA139" s="4">
        <f t="shared" si="136"/>
        <v>18200</v>
      </c>
      <c r="BB139" s="4">
        <f t="shared" si="136"/>
        <v>18200</v>
      </c>
      <c r="BC139" s="22">
        <f t="shared" si="136"/>
        <v>0</v>
      </c>
      <c r="BD139" s="22">
        <f t="shared" si="136"/>
        <v>0</v>
      </c>
      <c r="BE139" s="87"/>
      <c r="BF139" s="125"/>
    </row>
    <row r="140" spans="1:58" s="123" customFormat="1" ht="36" customHeight="1">
      <c r="A140" s="142" t="s">
        <v>150</v>
      </c>
      <c r="B140" s="93" t="s">
        <v>265</v>
      </c>
      <c r="C140" s="87"/>
      <c r="D140" s="87"/>
      <c r="E140" s="87"/>
      <c r="F140" s="87"/>
      <c r="G140" s="121"/>
      <c r="H140" s="121"/>
      <c r="I140" s="5"/>
      <c r="J140" s="4">
        <f>SUM(J141:J146)</f>
        <v>58890</v>
      </c>
      <c r="K140" s="4">
        <f t="shared" ref="K140:BA140" si="137">SUM(K141:K146)</f>
        <v>58890</v>
      </c>
      <c r="L140" s="4">
        <f t="shared" si="137"/>
        <v>0</v>
      </c>
      <c r="M140" s="4">
        <f t="shared" si="137"/>
        <v>0</v>
      </c>
      <c r="N140" s="4">
        <f t="shared" si="137"/>
        <v>0</v>
      </c>
      <c r="O140" s="4">
        <f t="shared" si="137"/>
        <v>0</v>
      </c>
      <c r="P140" s="4">
        <f t="shared" si="137"/>
        <v>556</v>
      </c>
      <c r="Q140" s="4">
        <f t="shared" si="137"/>
        <v>556</v>
      </c>
      <c r="R140" s="4">
        <f t="shared" si="137"/>
        <v>58890</v>
      </c>
      <c r="S140" s="4">
        <f t="shared" si="137"/>
        <v>58890</v>
      </c>
      <c r="T140" s="4">
        <f t="shared" si="137"/>
        <v>0</v>
      </c>
      <c r="U140" s="4">
        <f t="shared" si="137"/>
        <v>0</v>
      </c>
      <c r="V140" s="4">
        <f t="shared" si="137"/>
        <v>270</v>
      </c>
      <c r="W140" s="4">
        <f t="shared" si="137"/>
        <v>556</v>
      </c>
      <c r="X140" s="4">
        <f t="shared" si="137"/>
        <v>556</v>
      </c>
      <c r="Y140" s="4">
        <f t="shared" si="137"/>
        <v>0</v>
      </c>
      <c r="Z140" s="4">
        <f t="shared" si="137"/>
        <v>0</v>
      </c>
      <c r="AA140" s="4">
        <f t="shared" si="137"/>
        <v>306</v>
      </c>
      <c r="AB140" s="4">
        <f t="shared" si="137"/>
        <v>306</v>
      </c>
      <c r="AC140" s="4">
        <f t="shared" si="137"/>
        <v>0</v>
      </c>
      <c r="AD140" s="4">
        <f t="shared" si="137"/>
        <v>0</v>
      </c>
      <c r="AE140" s="4">
        <f t="shared" si="137"/>
        <v>862</v>
      </c>
      <c r="AF140" s="4">
        <f t="shared" si="137"/>
        <v>862</v>
      </c>
      <c r="AG140" s="4">
        <f t="shared" si="137"/>
        <v>0</v>
      </c>
      <c r="AH140" s="4">
        <f t="shared" si="137"/>
        <v>0</v>
      </c>
      <c r="AI140" s="4">
        <f t="shared" si="137"/>
        <v>17771.333333333336</v>
      </c>
      <c r="AJ140" s="4">
        <f t="shared" si="137"/>
        <v>17771.333333333336</v>
      </c>
      <c r="AK140" s="4">
        <f t="shared" si="137"/>
        <v>0</v>
      </c>
      <c r="AL140" s="4">
        <f t="shared" si="137"/>
        <v>0</v>
      </c>
      <c r="AM140" s="4">
        <f t="shared" si="137"/>
        <v>14638</v>
      </c>
      <c r="AN140" s="4">
        <f t="shared" si="137"/>
        <v>14638</v>
      </c>
      <c r="AO140" s="4">
        <f t="shared" si="137"/>
        <v>0</v>
      </c>
      <c r="AP140" s="4">
        <f t="shared" si="137"/>
        <v>0</v>
      </c>
      <c r="AQ140" s="4">
        <f t="shared" si="137"/>
        <v>14908</v>
      </c>
      <c r="AR140" s="4">
        <f t="shared" si="137"/>
        <v>15500</v>
      </c>
      <c r="AS140" s="4">
        <f t="shared" si="137"/>
        <v>15500</v>
      </c>
      <c r="AT140" s="4">
        <f t="shared" si="137"/>
        <v>25037</v>
      </c>
      <c r="AU140" s="4">
        <f t="shared" si="137"/>
        <v>25037</v>
      </c>
      <c r="AV140" s="4">
        <f t="shared" si="137"/>
        <v>0</v>
      </c>
      <c r="AW140" s="4">
        <f t="shared" si="137"/>
        <v>0</v>
      </c>
      <c r="AX140" s="4">
        <f t="shared" si="137"/>
        <v>39945</v>
      </c>
      <c r="AY140" s="4">
        <f t="shared" si="137"/>
        <v>40537</v>
      </c>
      <c r="AZ140" s="4">
        <f t="shared" si="137"/>
        <v>40537</v>
      </c>
      <c r="BA140" s="4">
        <f t="shared" si="137"/>
        <v>18200</v>
      </c>
      <c r="BB140" s="4">
        <f>SUM(BB141:BB146)</f>
        <v>18200</v>
      </c>
      <c r="BC140" s="22">
        <f t="shared" ref="BC140:BD140" si="138">SUM(BC141:BC146)</f>
        <v>0</v>
      </c>
      <c r="BD140" s="22">
        <f t="shared" si="138"/>
        <v>0</v>
      </c>
      <c r="BE140" s="87"/>
      <c r="BF140" s="125"/>
    </row>
    <row r="141" spans="1:58" s="64" customFormat="1" ht="42.75" customHeight="1">
      <c r="A141" s="198">
        <v>1</v>
      </c>
      <c r="B141" s="200" t="s">
        <v>271</v>
      </c>
      <c r="C141" s="99" t="s">
        <v>267</v>
      </c>
      <c r="D141" s="99"/>
      <c r="E141" s="174" t="s">
        <v>268</v>
      </c>
      <c r="F141" s="99"/>
      <c r="G141" s="149"/>
      <c r="H141" s="149"/>
      <c r="I141" s="2" t="s">
        <v>272</v>
      </c>
      <c r="J141" s="3">
        <v>6700</v>
      </c>
      <c r="K141" s="3">
        <v>6700</v>
      </c>
      <c r="L141" s="3"/>
      <c r="M141" s="3"/>
      <c r="N141" s="3"/>
      <c r="O141" s="3"/>
      <c r="P141" s="3">
        <f t="shared" ref="P141:Q146" si="139">L141+W141</f>
        <v>91</v>
      </c>
      <c r="Q141" s="3">
        <f t="shared" si="139"/>
        <v>91</v>
      </c>
      <c r="R141" s="3">
        <f>S141</f>
        <v>6700</v>
      </c>
      <c r="S141" s="3">
        <v>6700</v>
      </c>
      <c r="T141" s="3"/>
      <c r="U141" s="3"/>
      <c r="V141" s="3">
        <v>91</v>
      </c>
      <c r="W141" s="3">
        <v>91</v>
      </c>
      <c r="X141" s="3">
        <v>91</v>
      </c>
      <c r="Y141" s="3"/>
      <c r="Z141" s="3"/>
      <c r="AA141" s="3"/>
      <c r="AB141" s="3"/>
      <c r="AC141" s="3"/>
      <c r="AD141" s="3"/>
      <c r="AE141" s="3">
        <f t="shared" ref="AE141:AF146" si="140">W141+AA141</f>
        <v>91</v>
      </c>
      <c r="AF141" s="3">
        <f t="shared" si="140"/>
        <v>91</v>
      </c>
      <c r="AG141" s="3"/>
      <c r="AH141" s="3"/>
      <c r="AI141" s="3">
        <f>S141/3</f>
        <v>2233.3333333333335</v>
      </c>
      <c r="AJ141" s="3">
        <f>AI141</f>
        <v>2233.3333333333335</v>
      </c>
      <c r="AK141" s="3">
        <f t="shared" ref="AK141:AL146" si="141">AO141</f>
        <v>0</v>
      </c>
      <c r="AL141" s="3">
        <f t="shared" si="141"/>
        <v>0</v>
      </c>
      <c r="AM141" s="3">
        <f t="shared" ref="AM141:AM146" si="142">AN141</f>
        <v>2000</v>
      </c>
      <c r="AN141" s="3">
        <v>2000</v>
      </c>
      <c r="AO141" s="3"/>
      <c r="AP141" s="3"/>
      <c r="AQ141" s="12">
        <f t="shared" ref="AQ141:AQ146" si="143">V141+AN141</f>
        <v>2091</v>
      </c>
      <c r="AR141" s="12">
        <f t="shared" ref="AR141:AR146" si="144">AS141</f>
        <v>2091</v>
      </c>
      <c r="AS141" s="12">
        <f t="shared" ref="AS141:AS146" si="145">AF141+AN141</f>
        <v>2091</v>
      </c>
      <c r="AT141" s="12">
        <f t="shared" ref="AT141:AT146" si="146">AU141</f>
        <v>2000</v>
      </c>
      <c r="AU141" s="12">
        <v>2000</v>
      </c>
      <c r="AV141" s="12"/>
      <c r="AW141" s="12"/>
      <c r="AX141" s="3">
        <f t="shared" ref="AX141:AX146" si="147">AQ141+AU141</f>
        <v>4091</v>
      </c>
      <c r="AY141" s="3">
        <f t="shared" ref="AY141:AY148" si="148">AZ141</f>
        <v>4091</v>
      </c>
      <c r="AZ141" s="3">
        <f t="shared" ref="AZ141:AZ146" si="149">AS141+AU141</f>
        <v>4091</v>
      </c>
      <c r="BA141" s="3">
        <f t="shared" ref="BA141:BA148" si="150">BB141</f>
        <v>2600</v>
      </c>
      <c r="BB141" s="3">
        <v>2600</v>
      </c>
      <c r="BC141" s="3"/>
      <c r="BD141" s="3"/>
      <c r="BE141" s="145" t="s">
        <v>156</v>
      </c>
      <c r="BF141" s="111"/>
    </row>
    <row r="142" spans="1:58" s="64" customFormat="1" ht="41.45" customHeight="1">
      <c r="A142" s="198">
        <v>2</v>
      </c>
      <c r="B142" s="200" t="s">
        <v>273</v>
      </c>
      <c r="C142" s="99" t="s">
        <v>267</v>
      </c>
      <c r="D142" s="99"/>
      <c r="E142" s="174" t="s">
        <v>268</v>
      </c>
      <c r="F142" s="99"/>
      <c r="G142" s="149"/>
      <c r="H142" s="149"/>
      <c r="I142" s="73" t="s">
        <v>274</v>
      </c>
      <c r="J142" s="151">
        <v>7000</v>
      </c>
      <c r="K142" s="151">
        <f>J142</f>
        <v>7000</v>
      </c>
      <c r="L142" s="3"/>
      <c r="M142" s="3"/>
      <c r="N142" s="3"/>
      <c r="O142" s="3"/>
      <c r="P142" s="3">
        <f t="shared" si="139"/>
        <v>91</v>
      </c>
      <c r="Q142" s="3">
        <f t="shared" si="139"/>
        <v>91</v>
      </c>
      <c r="R142" s="3">
        <v>7000</v>
      </c>
      <c r="S142" s="3">
        <v>7000</v>
      </c>
      <c r="T142" s="3"/>
      <c r="U142" s="3"/>
      <c r="V142" s="3"/>
      <c r="W142" s="3">
        <v>91</v>
      </c>
      <c r="X142" s="3">
        <v>91</v>
      </c>
      <c r="Y142" s="3"/>
      <c r="Z142" s="3"/>
      <c r="AA142" s="3"/>
      <c r="AB142" s="3"/>
      <c r="AC142" s="3"/>
      <c r="AD142" s="3"/>
      <c r="AE142" s="3">
        <f t="shared" si="140"/>
        <v>91</v>
      </c>
      <c r="AF142" s="3">
        <f t="shared" si="140"/>
        <v>91</v>
      </c>
      <c r="AG142" s="3"/>
      <c r="AH142" s="3"/>
      <c r="AI142" s="3">
        <f>S142/3</f>
        <v>2333.3333333333335</v>
      </c>
      <c r="AJ142" s="3">
        <f t="shared" ref="AJ142:AJ148" si="151">AI142</f>
        <v>2333.3333333333335</v>
      </c>
      <c r="AK142" s="3">
        <f t="shared" si="141"/>
        <v>0</v>
      </c>
      <c r="AL142" s="3">
        <f t="shared" si="141"/>
        <v>0</v>
      </c>
      <c r="AM142" s="3">
        <f t="shared" si="142"/>
        <v>2000</v>
      </c>
      <c r="AN142" s="3">
        <v>2000</v>
      </c>
      <c r="AO142" s="3"/>
      <c r="AP142" s="3"/>
      <c r="AQ142" s="12">
        <f t="shared" si="143"/>
        <v>2000</v>
      </c>
      <c r="AR142" s="12">
        <f t="shared" si="144"/>
        <v>2091</v>
      </c>
      <c r="AS142" s="12">
        <f t="shared" si="145"/>
        <v>2091</v>
      </c>
      <c r="AT142" s="12">
        <f t="shared" si="146"/>
        <v>2500</v>
      </c>
      <c r="AU142" s="12">
        <v>2500</v>
      </c>
      <c r="AV142" s="12"/>
      <c r="AW142" s="12"/>
      <c r="AX142" s="3">
        <f t="shared" si="147"/>
        <v>4500</v>
      </c>
      <c r="AY142" s="3">
        <f t="shared" si="148"/>
        <v>4591</v>
      </c>
      <c r="AZ142" s="3">
        <f t="shared" si="149"/>
        <v>4591</v>
      </c>
      <c r="BA142" s="3">
        <f t="shared" si="150"/>
        <v>2400</v>
      </c>
      <c r="BB142" s="3">
        <v>2400</v>
      </c>
      <c r="BC142" s="3"/>
      <c r="BD142" s="3"/>
      <c r="BE142" s="145" t="s">
        <v>156</v>
      </c>
      <c r="BF142" s="111"/>
    </row>
    <row r="143" spans="1:58" s="64" customFormat="1" ht="48.95" customHeight="1">
      <c r="A143" s="198">
        <v>3</v>
      </c>
      <c r="B143" s="201" t="s">
        <v>275</v>
      </c>
      <c r="C143" s="99" t="s">
        <v>267</v>
      </c>
      <c r="D143" s="99"/>
      <c r="E143" s="174" t="s">
        <v>268</v>
      </c>
      <c r="F143" s="99"/>
      <c r="G143" s="149"/>
      <c r="H143" s="149"/>
      <c r="I143" s="2" t="s">
        <v>276</v>
      </c>
      <c r="J143" s="3">
        <v>10000</v>
      </c>
      <c r="K143" s="3">
        <f>J143</f>
        <v>10000</v>
      </c>
      <c r="L143" s="3"/>
      <c r="M143" s="3"/>
      <c r="N143" s="3" t="s">
        <v>54</v>
      </c>
      <c r="O143" s="3"/>
      <c r="P143" s="3">
        <f t="shared" si="139"/>
        <v>195</v>
      </c>
      <c r="Q143" s="3">
        <f t="shared" si="139"/>
        <v>195</v>
      </c>
      <c r="R143" s="3">
        <f>S143</f>
        <v>10000</v>
      </c>
      <c r="S143" s="3">
        <v>10000</v>
      </c>
      <c r="T143" s="3"/>
      <c r="U143" s="3"/>
      <c r="V143" s="3"/>
      <c r="W143" s="3">
        <v>195</v>
      </c>
      <c r="X143" s="3">
        <v>195</v>
      </c>
      <c r="Y143" s="3"/>
      <c r="Z143" s="3"/>
      <c r="AA143" s="3"/>
      <c r="AB143" s="3"/>
      <c r="AC143" s="3"/>
      <c r="AD143" s="3"/>
      <c r="AE143" s="3">
        <f t="shared" si="140"/>
        <v>195</v>
      </c>
      <c r="AF143" s="3">
        <f t="shared" si="140"/>
        <v>195</v>
      </c>
      <c r="AG143" s="3"/>
      <c r="AH143" s="3"/>
      <c r="AI143" s="3">
        <f>S143/3</f>
        <v>3333.3333333333335</v>
      </c>
      <c r="AJ143" s="3">
        <f t="shared" si="151"/>
        <v>3333.3333333333335</v>
      </c>
      <c r="AK143" s="3">
        <f t="shared" si="141"/>
        <v>0</v>
      </c>
      <c r="AL143" s="3">
        <f t="shared" si="141"/>
        <v>0</v>
      </c>
      <c r="AM143" s="3">
        <f t="shared" si="142"/>
        <v>3000</v>
      </c>
      <c r="AN143" s="3">
        <v>3000</v>
      </c>
      <c r="AO143" s="3"/>
      <c r="AP143" s="3"/>
      <c r="AQ143" s="12">
        <f t="shared" si="143"/>
        <v>3000</v>
      </c>
      <c r="AR143" s="12">
        <f t="shared" si="144"/>
        <v>3195</v>
      </c>
      <c r="AS143" s="12">
        <f t="shared" si="145"/>
        <v>3195</v>
      </c>
      <c r="AT143" s="12">
        <f t="shared" si="146"/>
        <v>6340</v>
      </c>
      <c r="AU143" s="12">
        <f>3840+2500</f>
        <v>6340</v>
      </c>
      <c r="AV143" s="12"/>
      <c r="AW143" s="12"/>
      <c r="AX143" s="3">
        <f t="shared" si="147"/>
        <v>9340</v>
      </c>
      <c r="AY143" s="3">
        <f t="shared" si="148"/>
        <v>9535</v>
      </c>
      <c r="AZ143" s="3">
        <f t="shared" si="149"/>
        <v>9535</v>
      </c>
      <c r="BA143" s="3">
        <f t="shared" si="150"/>
        <v>400</v>
      </c>
      <c r="BB143" s="3">
        <v>400</v>
      </c>
      <c r="BC143" s="3"/>
      <c r="BD143" s="3"/>
      <c r="BE143" s="145" t="s">
        <v>156</v>
      </c>
      <c r="BF143" s="111"/>
    </row>
    <row r="144" spans="1:58" s="64" customFormat="1" ht="43.5" customHeight="1">
      <c r="A144" s="198">
        <v>4</v>
      </c>
      <c r="B144" s="158" t="s">
        <v>277</v>
      </c>
      <c r="C144" s="99" t="s">
        <v>267</v>
      </c>
      <c r="D144" s="99"/>
      <c r="E144" s="99" t="s">
        <v>229</v>
      </c>
      <c r="F144" s="99"/>
      <c r="G144" s="149"/>
      <c r="H144" s="149"/>
      <c r="I144" s="2" t="s">
        <v>278</v>
      </c>
      <c r="J144" s="3">
        <v>14000</v>
      </c>
      <c r="K144" s="3">
        <v>14000</v>
      </c>
      <c r="L144" s="3"/>
      <c r="M144" s="3"/>
      <c r="N144" s="3"/>
      <c r="O144" s="3"/>
      <c r="P144" s="3">
        <f t="shared" si="139"/>
        <v>179</v>
      </c>
      <c r="Q144" s="3">
        <f t="shared" si="139"/>
        <v>179</v>
      </c>
      <c r="R144" s="3">
        <f>S144</f>
        <v>14000</v>
      </c>
      <c r="S144" s="3">
        <v>14000</v>
      </c>
      <c r="T144" s="3"/>
      <c r="U144" s="3"/>
      <c r="V144" s="3">
        <v>179</v>
      </c>
      <c r="W144" s="3">
        <v>179</v>
      </c>
      <c r="X144" s="3">
        <v>179</v>
      </c>
      <c r="Y144" s="3"/>
      <c r="Z144" s="3"/>
      <c r="AA144" s="3"/>
      <c r="AB144" s="3"/>
      <c r="AC144" s="3"/>
      <c r="AD144" s="3"/>
      <c r="AE144" s="3">
        <f t="shared" si="140"/>
        <v>179</v>
      </c>
      <c r="AF144" s="3">
        <f t="shared" si="140"/>
        <v>179</v>
      </c>
      <c r="AG144" s="3"/>
      <c r="AH144" s="3"/>
      <c r="AI144" s="3">
        <f>S144/3</f>
        <v>4666.666666666667</v>
      </c>
      <c r="AJ144" s="3">
        <f t="shared" si="151"/>
        <v>4666.666666666667</v>
      </c>
      <c r="AK144" s="3">
        <f t="shared" si="141"/>
        <v>0</v>
      </c>
      <c r="AL144" s="3">
        <f t="shared" si="141"/>
        <v>0</v>
      </c>
      <c r="AM144" s="3">
        <f t="shared" si="142"/>
        <v>2500</v>
      </c>
      <c r="AN144" s="3">
        <v>2500</v>
      </c>
      <c r="AO144" s="3"/>
      <c r="AP144" s="3"/>
      <c r="AQ144" s="12">
        <f t="shared" si="143"/>
        <v>2679</v>
      </c>
      <c r="AR144" s="12">
        <f t="shared" si="144"/>
        <v>2679</v>
      </c>
      <c r="AS144" s="12">
        <f t="shared" si="145"/>
        <v>2679</v>
      </c>
      <c r="AT144" s="12">
        <f t="shared" si="146"/>
        <v>5000</v>
      </c>
      <c r="AU144" s="12">
        <v>5000</v>
      </c>
      <c r="AV144" s="12"/>
      <c r="AW144" s="12"/>
      <c r="AX144" s="3">
        <f t="shared" si="147"/>
        <v>7679</v>
      </c>
      <c r="AY144" s="3">
        <f t="shared" si="148"/>
        <v>7679</v>
      </c>
      <c r="AZ144" s="3">
        <f t="shared" si="149"/>
        <v>7679</v>
      </c>
      <c r="BA144" s="3">
        <f t="shared" si="150"/>
        <v>6300</v>
      </c>
      <c r="BB144" s="3">
        <v>6300</v>
      </c>
      <c r="BC144" s="3"/>
      <c r="BD144" s="3"/>
      <c r="BE144" s="145" t="s">
        <v>156</v>
      </c>
      <c r="BF144" s="111"/>
    </row>
    <row r="145" spans="1:58" s="146" customFormat="1" ht="38.1" customHeight="1">
      <c r="A145" s="198">
        <v>5</v>
      </c>
      <c r="B145" s="182" t="s">
        <v>279</v>
      </c>
      <c r="C145" s="99" t="s">
        <v>267</v>
      </c>
      <c r="D145" s="99"/>
      <c r="E145" s="174" t="s">
        <v>268</v>
      </c>
      <c r="F145" s="99"/>
      <c r="G145" s="99" t="s">
        <v>54</v>
      </c>
      <c r="H145" s="99" t="s">
        <v>280</v>
      </c>
      <c r="I145" s="2" t="s">
        <v>281</v>
      </c>
      <c r="J145" s="3">
        <f>K145</f>
        <v>14990</v>
      </c>
      <c r="K145" s="3">
        <v>14990</v>
      </c>
      <c r="L145" s="3"/>
      <c r="M145" s="3"/>
      <c r="N145" s="3"/>
      <c r="O145" s="3"/>
      <c r="P145" s="3">
        <f t="shared" si="139"/>
        <v>0</v>
      </c>
      <c r="Q145" s="3">
        <f t="shared" si="139"/>
        <v>0</v>
      </c>
      <c r="R145" s="3">
        <f>S145</f>
        <v>14990</v>
      </c>
      <c r="S145" s="3">
        <v>14990</v>
      </c>
      <c r="T145" s="3"/>
      <c r="U145" s="3"/>
      <c r="V145" s="3"/>
      <c r="W145" s="3"/>
      <c r="X145" s="3"/>
      <c r="Y145" s="3"/>
      <c r="Z145" s="3"/>
      <c r="AA145" s="3">
        <v>213</v>
      </c>
      <c r="AB145" s="3">
        <v>213</v>
      </c>
      <c r="AC145" s="3"/>
      <c r="AD145" s="3"/>
      <c r="AE145" s="3">
        <f t="shared" si="140"/>
        <v>213</v>
      </c>
      <c r="AF145" s="3">
        <f t="shared" si="140"/>
        <v>213</v>
      </c>
      <c r="AG145" s="3"/>
      <c r="AH145" s="3"/>
      <c r="AI145" s="3">
        <f>AJ145</f>
        <v>3138</v>
      </c>
      <c r="AJ145" s="3">
        <f>AM145</f>
        <v>3138</v>
      </c>
      <c r="AK145" s="3">
        <f t="shared" si="141"/>
        <v>0</v>
      </c>
      <c r="AL145" s="3">
        <f t="shared" si="141"/>
        <v>0</v>
      </c>
      <c r="AM145" s="3">
        <f t="shared" si="142"/>
        <v>3138</v>
      </c>
      <c r="AN145" s="3">
        <v>3138</v>
      </c>
      <c r="AO145" s="3"/>
      <c r="AP145" s="3"/>
      <c r="AQ145" s="12">
        <f t="shared" si="143"/>
        <v>3138</v>
      </c>
      <c r="AR145" s="12">
        <f t="shared" si="144"/>
        <v>3351</v>
      </c>
      <c r="AS145" s="12">
        <f t="shared" si="145"/>
        <v>3351</v>
      </c>
      <c r="AT145" s="12">
        <f t="shared" si="146"/>
        <v>6697</v>
      </c>
      <c r="AU145" s="12">
        <f>5700+997</f>
        <v>6697</v>
      </c>
      <c r="AV145" s="12"/>
      <c r="AW145" s="12"/>
      <c r="AX145" s="3">
        <f t="shared" si="147"/>
        <v>9835</v>
      </c>
      <c r="AY145" s="3">
        <f t="shared" si="148"/>
        <v>10048</v>
      </c>
      <c r="AZ145" s="3">
        <f t="shared" si="149"/>
        <v>10048</v>
      </c>
      <c r="BA145" s="3">
        <f t="shared" si="150"/>
        <v>4900</v>
      </c>
      <c r="BB145" s="3">
        <v>4900</v>
      </c>
      <c r="BC145" s="3"/>
      <c r="BD145" s="3"/>
      <c r="BE145" s="145" t="s">
        <v>156</v>
      </c>
      <c r="BF145" s="57">
        <f>AU145</f>
        <v>6697</v>
      </c>
    </row>
    <row r="146" spans="1:58" s="146" customFormat="1" ht="35.1" customHeight="1">
      <c r="A146" s="198">
        <v>6</v>
      </c>
      <c r="B146" s="202" t="s">
        <v>282</v>
      </c>
      <c r="C146" s="99" t="s">
        <v>267</v>
      </c>
      <c r="D146" s="99"/>
      <c r="E146" s="174" t="s">
        <v>268</v>
      </c>
      <c r="F146" s="99"/>
      <c r="G146" s="99"/>
      <c r="H146" s="99" t="s">
        <v>280</v>
      </c>
      <c r="I146" s="2" t="s">
        <v>283</v>
      </c>
      <c r="J146" s="3">
        <f>K146</f>
        <v>6200</v>
      </c>
      <c r="K146" s="3">
        <v>6200</v>
      </c>
      <c r="L146" s="3"/>
      <c r="M146" s="3"/>
      <c r="N146" s="3"/>
      <c r="O146" s="3"/>
      <c r="P146" s="3">
        <f t="shared" si="139"/>
        <v>0</v>
      </c>
      <c r="Q146" s="3">
        <f t="shared" si="139"/>
        <v>0</v>
      </c>
      <c r="R146" s="3">
        <v>6200</v>
      </c>
      <c r="S146" s="3">
        <v>6200</v>
      </c>
      <c r="T146" s="3"/>
      <c r="U146" s="3"/>
      <c r="V146" s="3"/>
      <c r="W146" s="3"/>
      <c r="X146" s="3"/>
      <c r="Y146" s="3"/>
      <c r="Z146" s="3"/>
      <c r="AA146" s="3">
        <v>93</v>
      </c>
      <c r="AB146" s="3">
        <v>93</v>
      </c>
      <c r="AC146" s="3"/>
      <c r="AD146" s="3"/>
      <c r="AE146" s="3">
        <f t="shared" si="140"/>
        <v>93</v>
      </c>
      <c r="AF146" s="3">
        <f t="shared" si="140"/>
        <v>93</v>
      </c>
      <c r="AG146" s="3"/>
      <c r="AH146" s="3"/>
      <c r="AI146" s="3">
        <f>S146/3</f>
        <v>2066.6666666666665</v>
      </c>
      <c r="AJ146" s="3">
        <f t="shared" si="151"/>
        <v>2066.6666666666665</v>
      </c>
      <c r="AK146" s="3">
        <f t="shared" si="141"/>
        <v>0</v>
      </c>
      <c r="AL146" s="3">
        <f t="shared" si="141"/>
        <v>0</v>
      </c>
      <c r="AM146" s="3">
        <f t="shared" si="142"/>
        <v>2000</v>
      </c>
      <c r="AN146" s="3">
        <v>2000</v>
      </c>
      <c r="AO146" s="3"/>
      <c r="AP146" s="3"/>
      <c r="AQ146" s="12">
        <f t="shared" si="143"/>
        <v>2000</v>
      </c>
      <c r="AR146" s="12">
        <f t="shared" si="144"/>
        <v>2093</v>
      </c>
      <c r="AS146" s="12">
        <f t="shared" si="145"/>
        <v>2093</v>
      </c>
      <c r="AT146" s="12">
        <f t="shared" si="146"/>
        <v>2500</v>
      </c>
      <c r="AU146" s="12">
        <v>2500</v>
      </c>
      <c r="AV146" s="12"/>
      <c r="AW146" s="12"/>
      <c r="AX146" s="3">
        <f t="shared" si="147"/>
        <v>4500</v>
      </c>
      <c r="AY146" s="3">
        <f t="shared" si="148"/>
        <v>4593</v>
      </c>
      <c r="AZ146" s="3">
        <f t="shared" si="149"/>
        <v>4593</v>
      </c>
      <c r="BA146" s="3">
        <f t="shared" si="150"/>
        <v>1600</v>
      </c>
      <c r="BB146" s="3">
        <v>1600</v>
      </c>
      <c r="BC146" s="3"/>
      <c r="BD146" s="3"/>
      <c r="BE146" s="145" t="s">
        <v>156</v>
      </c>
      <c r="BF146" s="57"/>
    </row>
    <row r="147" spans="1:58" s="146" customFormat="1" ht="35.1" customHeight="1">
      <c r="A147" s="94" t="s">
        <v>172</v>
      </c>
      <c r="B147" s="91" t="s">
        <v>284</v>
      </c>
      <c r="C147" s="99"/>
      <c r="D147" s="99"/>
      <c r="E147" s="174"/>
      <c r="F147" s="99"/>
      <c r="G147" s="99"/>
      <c r="H147" s="99"/>
      <c r="I147" s="2"/>
      <c r="J147" s="4">
        <f>+J148</f>
        <v>6000</v>
      </c>
      <c r="K147" s="4">
        <f t="shared" ref="K147:BD147" si="152">+K148</f>
        <v>6000</v>
      </c>
      <c r="L147" s="4">
        <f t="shared" si="152"/>
        <v>0</v>
      </c>
      <c r="M147" s="4">
        <f t="shared" si="152"/>
        <v>0</v>
      </c>
      <c r="N147" s="4">
        <f t="shared" si="152"/>
        <v>0</v>
      </c>
      <c r="O147" s="4">
        <f t="shared" si="152"/>
        <v>0</v>
      </c>
      <c r="P147" s="4">
        <f t="shared" si="152"/>
        <v>0</v>
      </c>
      <c r="Q147" s="4">
        <f t="shared" si="152"/>
        <v>0</v>
      </c>
      <c r="R147" s="4">
        <f t="shared" si="152"/>
        <v>3000</v>
      </c>
      <c r="S147" s="4">
        <f t="shared" si="152"/>
        <v>3000</v>
      </c>
      <c r="T147" s="4">
        <f t="shared" si="152"/>
        <v>0</v>
      </c>
      <c r="U147" s="4">
        <f t="shared" si="152"/>
        <v>0</v>
      </c>
      <c r="V147" s="4">
        <f t="shared" si="152"/>
        <v>0</v>
      </c>
      <c r="W147" s="4">
        <f t="shared" si="152"/>
        <v>0</v>
      </c>
      <c r="X147" s="4">
        <f t="shared" si="152"/>
        <v>0</v>
      </c>
      <c r="Y147" s="4">
        <f t="shared" si="152"/>
        <v>0</v>
      </c>
      <c r="Z147" s="4">
        <f t="shared" si="152"/>
        <v>0</v>
      </c>
      <c r="AA147" s="4">
        <f t="shared" si="152"/>
        <v>0</v>
      </c>
      <c r="AB147" s="4">
        <f t="shared" si="152"/>
        <v>0</v>
      </c>
      <c r="AC147" s="4">
        <f t="shared" si="152"/>
        <v>0</v>
      </c>
      <c r="AD147" s="4">
        <f t="shared" si="152"/>
        <v>0</v>
      </c>
      <c r="AE147" s="4">
        <f t="shared" si="152"/>
        <v>0</v>
      </c>
      <c r="AF147" s="4">
        <f t="shared" si="152"/>
        <v>0</v>
      </c>
      <c r="AG147" s="4">
        <f t="shared" si="152"/>
        <v>0</v>
      </c>
      <c r="AH147" s="4">
        <f t="shared" si="152"/>
        <v>0</v>
      </c>
      <c r="AI147" s="4">
        <f t="shared" si="152"/>
        <v>1000</v>
      </c>
      <c r="AJ147" s="4">
        <f t="shared" si="152"/>
        <v>1000</v>
      </c>
      <c r="AK147" s="4">
        <f t="shared" si="152"/>
        <v>0</v>
      </c>
      <c r="AL147" s="4">
        <f t="shared" si="152"/>
        <v>0</v>
      </c>
      <c r="AM147" s="4">
        <f t="shared" si="152"/>
        <v>0</v>
      </c>
      <c r="AN147" s="4">
        <f t="shared" si="152"/>
        <v>0</v>
      </c>
      <c r="AO147" s="4">
        <f t="shared" si="152"/>
        <v>0</v>
      </c>
      <c r="AP147" s="4">
        <f t="shared" si="152"/>
        <v>0</v>
      </c>
      <c r="AQ147" s="22">
        <f t="shared" si="152"/>
        <v>50</v>
      </c>
      <c r="AR147" s="22">
        <f t="shared" si="152"/>
        <v>50</v>
      </c>
      <c r="AS147" s="22">
        <f t="shared" si="152"/>
        <v>50</v>
      </c>
      <c r="AT147" s="22">
        <f t="shared" si="152"/>
        <v>1500</v>
      </c>
      <c r="AU147" s="22">
        <f t="shared" si="152"/>
        <v>1500</v>
      </c>
      <c r="AV147" s="22">
        <f t="shared" si="152"/>
        <v>0</v>
      </c>
      <c r="AW147" s="22">
        <f t="shared" si="152"/>
        <v>0</v>
      </c>
      <c r="AX147" s="4">
        <f t="shared" si="152"/>
        <v>1550</v>
      </c>
      <c r="AY147" s="4">
        <f t="shared" si="152"/>
        <v>1550</v>
      </c>
      <c r="AZ147" s="4">
        <f t="shared" si="152"/>
        <v>1550</v>
      </c>
      <c r="BA147" s="4">
        <f t="shared" si="152"/>
        <v>1450</v>
      </c>
      <c r="BB147" s="4">
        <f t="shared" si="152"/>
        <v>1450</v>
      </c>
      <c r="BC147" s="22">
        <f t="shared" si="152"/>
        <v>0</v>
      </c>
      <c r="BD147" s="22">
        <f t="shared" si="152"/>
        <v>0</v>
      </c>
      <c r="BE147" s="2"/>
      <c r="BF147" s="57"/>
    </row>
    <row r="148" spans="1:58" s="146" customFormat="1" ht="37.5" customHeight="1">
      <c r="A148" s="198">
        <v>1</v>
      </c>
      <c r="B148" s="182" t="s">
        <v>285</v>
      </c>
      <c r="C148" s="99" t="s">
        <v>267</v>
      </c>
      <c r="D148" s="99"/>
      <c r="E148" s="174" t="s">
        <v>286</v>
      </c>
      <c r="F148" s="99"/>
      <c r="G148" s="33" t="s">
        <v>287</v>
      </c>
      <c r="H148" s="33" t="s">
        <v>125</v>
      </c>
      <c r="I148" s="33" t="s">
        <v>288</v>
      </c>
      <c r="J148" s="34">
        <f>K148</f>
        <v>6000</v>
      </c>
      <c r="K148" s="34">
        <v>6000</v>
      </c>
      <c r="L148" s="3"/>
      <c r="M148" s="3"/>
      <c r="N148" s="3"/>
      <c r="O148" s="3"/>
      <c r="P148" s="3"/>
      <c r="Q148" s="3"/>
      <c r="R148" s="3">
        <v>3000</v>
      </c>
      <c r="S148" s="3">
        <v>3000</v>
      </c>
      <c r="T148" s="3"/>
      <c r="U148" s="3"/>
      <c r="V148" s="3"/>
      <c r="W148" s="3"/>
      <c r="X148" s="3"/>
      <c r="Y148" s="3"/>
      <c r="Z148" s="3"/>
      <c r="AA148" s="3"/>
      <c r="AB148" s="3"/>
      <c r="AC148" s="3"/>
      <c r="AD148" s="3"/>
      <c r="AE148" s="3"/>
      <c r="AF148" s="3"/>
      <c r="AG148" s="3"/>
      <c r="AH148" s="3"/>
      <c r="AI148" s="3">
        <f>S148/3</f>
        <v>1000</v>
      </c>
      <c r="AJ148" s="3">
        <f t="shared" si="151"/>
        <v>1000</v>
      </c>
      <c r="AK148" s="3"/>
      <c r="AL148" s="3"/>
      <c r="AM148" s="3"/>
      <c r="AN148" s="3"/>
      <c r="AO148" s="3"/>
      <c r="AP148" s="3"/>
      <c r="AQ148" s="12">
        <v>50</v>
      </c>
      <c r="AR148" s="12">
        <f>+AS148</f>
        <v>50</v>
      </c>
      <c r="AS148" s="12">
        <v>50</v>
      </c>
      <c r="AT148" s="12">
        <f>+AU148</f>
        <v>1500</v>
      </c>
      <c r="AU148" s="12">
        <v>1500</v>
      </c>
      <c r="AV148" s="12"/>
      <c r="AW148" s="12"/>
      <c r="AX148" s="3">
        <f t="shared" ref="AX148" si="153">AQ148+AU148</f>
        <v>1550</v>
      </c>
      <c r="AY148" s="3">
        <f t="shared" si="148"/>
        <v>1550</v>
      </c>
      <c r="AZ148" s="3">
        <f t="shared" ref="AZ148" si="154">AS148+AU148</f>
        <v>1550</v>
      </c>
      <c r="BA148" s="3">
        <f t="shared" si="150"/>
        <v>1450</v>
      </c>
      <c r="BB148" s="3">
        <f>S148-AZ148</f>
        <v>1450</v>
      </c>
      <c r="BC148" s="3"/>
      <c r="BD148" s="3"/>
      <c r="BE148" s="2"/>
      <c r="BF148" s="57">
        <f>AU148</f>
        <v>1500</v>
      </c>
    </row>
    <row r="149" spans="1:58" s="146" customFormat="1" ht="37.5" customHeight="1">
      <c r="A149" s="75" t="s">
        <v>137</v>
      </c>
      <c r="B149" s="141" t="s">
        <v>138</v>
      </c>
      <c r="C149" s="99"/>
      <c r="D149" s="99"/>
      <c r="E149" s="174"/>
      <c r="F149" s="99"/>
      <c r="G149" s="33"/>
      <c r="H149" s="33"/>
      <c r="I149" s="33"/>
      <c r="J149" s="35">
        <f>+SUM(J150:J153)</f>
        <v>46990</v>
      </c>
      <c r="K149" s="35">
        <f t="shared" ref="K149:BD149" si="155">+SUM(K150:K153)</f>
        <v>26086</v>
      </c>
      <c r="L149" s="35">
        <f t="shared" si="155"/>
        <v>0</v>
      </c>
      <c r="M149" s="35">
        <f t="shared" si="155"/>
        <v>0</v>
      </c>
      <c r="N149" s="35">
        <f t="shared" si="155"/>
        <v>0</v>
      </c>
      <c r="O149" s="35">
        <f t="shared" si="155"/>
        <v>0</v>
      </c>
      <c r="P149" s="35">
        <f t="shared" si="155"/>
        <v>0</v>
      </c>
      <c r="Q149" s="35">
        <f t="shared" si="155"/>
        <v>0</v>
      </c>
      <c r="R149" s="35">
        <f t="shared" si="155"/>
        <v>14716</v>
      </c>
      <c r="S149" s="35">
        <f t="shared" si="155"/>
        <v>14716</v>
      </c>
      <c r="T149" s="35">
        <f t="shared" si="155"/>
        <v>0</v>
      </c>
      <c r="U149" s="35">
        <f t="shared" si="155"/>
        <v>0</v>
      </c>
      <c r="V149" s="35">
        <f t="shared" si="155"/>
        <v>0</v>
      </c>
      <c r="W149" s="35">
        <f t="shared" si="155"/>
        <v>0</v>
      </c>
      <c r="X149" s="35">
        <f t="shared" si="155"/>
        <v>0</v>
      </c>
      <c r="Y149" s="35">
        <f t="shared" si="155"/>
        <v>0</v>
      </c>
      <c r="Z149" s="35">
        <f t="shared" si="155"/>
        <v>0</v>
      </c>
      <c r="AA149" s="35">
        <f t="shared" si="155"/>
        <v>0</v>
      </c>
      <c r="AB149" s="35">
        <f t="shared" si="155"/>
        <v>0</v>
      </c>
      <c r="AC149" s="35">
        <f t="shared" si="155"/>
        <v>0</v>
      </c>
      <c r="AD149" s="35">
        <f t="shared" si="155"/>
        <v>0</v>
      </c>
      <c r="AE149" s="35">
        <f t="shared" si="155"/>
        <v>0</v>
      </c>
      <c r="AF149" s="35">
        <f t="shared" si="155"/>
        <v>0</v>
      </c>
      <c r="AG149" s="35">
        <f t="shared" si="155"/>
        <v>0</v>
      </c>
      <c r="AH149" s="35">
        <f t="shared" si="155"/>
        <v>0</v>
      </c>
      <c r="AI149" s="35">
        <f t="shared" si="155"/>
        <v>0</v>
      </c>
      <c r="AJ149" s="35">
        <f t="shared" si="155"/>
        <v>0</v>
      </c>
      <c r="AK149" s="35">
        <f t="shared" si="155"/>
        <v>0</v>
      </c>
      <c r="AL149" s="35">
        <f t="shared" si="155"/>
        <v>0</v>
      </c>
      <c r="AM149" s="35">
        <f t="shared" si="155"/>
        <v>0</v>
      </c>
      <c r="AN149" s="35">
        <f t="shared" si="155"/>
        <v>0</v>
      </c>
      <c r="AO149" s="35">
        <f t="shared" si="155"/>
        <v>0</v>
      </c>
      <c r="AP149" s="35">
        <f t="shared" si="155"/>
        <v>0</v>
      </c>
      <c r="AQ149" s="35">
        <f t="shared" si="155"/>
        <v>0</v>
      </c>
      <c r="AR149" s="35">
        <f t="shared" si="155"/>
        <v>0</v>
      </c>
      <c r="AS149" s="35">
        <f t="shared" si="155"/>
        <v>0</v>
      </c>
      <c r="AT149" s="35">
        <f t="shared" si="155"/>
        <v>0</v>
      </c>
      <c r="AU149" s="35">
        <f t="shared" si="155"/>
        <v>0</v>
      </c>
      <c r="AV149" s="35">
        <f t="shared" si="155"/>
        <v>0</v>
      </c>
      <c r="AW149" s="35">
        <f t="shared" si="155"/>
        <v>0</v>
      </c>
      <c r="AX149" s="35">
        <f t="shared" si="155"/>
        <v>0</v>
      </c>
      <c r="AY149" s="35">
        <f t="shared" si="155"/>
        <v>0</v>
      </c>
      <c r="AZ149" s="35">
        <f t="shared" si="155"/>
        <v>0</v>
      </c>
      <c r="BA149" s="35">
        <f t="shared" si="155"/>
        <v>14716</v>
      </c>
      <c r="BB149" s="35">
        <f>+SUM(BB150:BB153)</f>
        <v>14716</v>
      </c>
      <c r="BC149" s="35">
        <f t="shared" si="155"/>
        <v>0</v>
      </c>
      <c r="BD149" s="35">
        <f t="shared" si="155"/>
        <v>0</v>
      </c>
      <c r="BE149" s="2"/>
      <c r="BF149" s="57"/>
    </row>
    <row r="150" spans="1:58" s="146" customFormat="1" ht="37.5" customHeight="1">
      <c r="A150" s="198">
        <v>1</v>
      </c>
      <c r="B150" s="184" t="s">
        <v>289</v>
      </c>
      <c r="C150" s="99" t="s">
        <v>290</v>
      </c>
      <c r="D150" s="99"/>
      <c r="E150" s="174" t="s">
        <v>291</v>
      </c>
      <c r="F150" s="99"/>
      <c r="G150" s="33"/>
      <c r="H150" s="33" t="s">
        <v>121</v>
      </c>
      <c r="I150" s="33" t="s">
        <v>292</v>
      </c>
      <c r="J150" s="151">
        <v>14990</v>
      </c>
      <c r="K150" s="151">
        <v>3086</v>
      </c>
      <c r="L150" s="3"/>
      <c r="M150" s="3"/>
      <c r="N150" s="3"/>
      <c r="O150" s="3"/>
      <c r="P150" s="3"/>
      <c r="Q150" s="3"/>
      <c r="R150" s="3">
        <f>+S150</f>
        <v>3086</v>
      </c>
      <c r="S150" s="3">
        <v>3086</v>
      </c>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12"/>
      <c r="AR150" s="12"/>
      <c r="AS150" s="12"/>
      <c r="AT150" s="12"/>
      <c r="AU150" s="12"/>
      <c r="AV150" s="12"/>
      <c r="AW150" s="12"/>
      <c r="AX150" s="3"/>
      <c r="AY150" s="3"/>
      <c r="AZ150" s="3"/>
      <c r="BA150" s="3">
        <f>+BB150</f>
        <v>3086</v>
      </c>
      <c r="BB150" s="3">
        <v>3086</v>
      </c>
      <c r="BC150" s="3"/>
      <c r="BD150" s="3"/>
      <c r="BE150" s="2"/>
      <c r="BF150" s="57"/>
    </row>
    <row r="151" spans="1:58" s="115" customFormat="1" ht="36" customHeight="1">
      <c r="A151" s="155">
        <v>2</v>
      </c>
      <c r="B151" s="184" t="s">
        <v>293</v>
      </c>
      <c r="C151" s="137"/>
      <c r="D151" s="137"/>
      <c r="E151" s="137"/>
      <c r="F151" s="137"/>
      <c r="G151" s="87"/>
      <c r="H151" s="87"/>
      <c r="I151" s="33" t="s">
        <v>294</v>
      </c>
      <c r="J151" s="151">
        <f>+K151</f>
        <v>3000</v>
      </c>
      <c r="K151" s="151">
        <v>3000</v>
      </c>
      <c r="L151" s="3"/>
      <c r="M151" s="3"/>
      <c r="N151" s="3"/>
      <c r="O151" s="3"/>
      <c r="P151" s="3"/>
      <c r="Q151" s="3"/>
      <c r="R151" s="3">
        <f t="shared" ref="R151:R152" si="156">+S151</f>
        <v>3000</v>
      </c>
      <c r="S151" s="3">
        <v>3000</v>
      </c>
      <c r="T151" s="3"/>
      <c r="U151" s="3"/>
      <c r="V151" s="3"/>
      <c r="W151" s="3"/>
      <c r="X151" s="3"/>
      <c r="Y151" s="3"/>
      <c r="Z151" s="3"/>
      <c r="AA151" s="3"/>
      <c r="AB151" s="3"/>
      <c r="AC151" s="3"/>
      <c r="AD151" s="3"/>
      <c r="AE151" s="4"/>
      <c r="AF151" s="4"/>
      <c r="AG151" s="4"/>
      <c r="AH151" s="4"/>
      <c r="AI151" s="4"/>
      <c r="AJ151" s="4"/>
      <c r="AK151" s="4"/>
      <c r="AL151" s="4"/>
      <c r="AM151" s="3"/>
      <c r="AN151" s="3"/>
      <c r="AO151" s="3"/>
      <c r="AP151" s="3"/>
      <c r="AQ151" s="12"/>
      <c r="AR151" s="12"/>
      <c r="AS151" s="12"/>
      <c r="AT151" s="12"/>
      <c r="AU151" s="12"/>
      <c r="AV151" s="12"/>
      <c r="AW151" s="12"/>
      <c r="AX151" s="3"/>
      <c r="AY151" s="3"/>
      <c r="AZ151" s="3"/>
      <c r="BA151" s="3">
        <f t="shared" ref="BA151:BA152" si="157">+BB151</f>
        <v>3000</v>
      </c>
      <c r="BB151" s="3">
        <v>3000</v>
      </c>
      <c r="BC151" s="3"/>
      <c r="BD151" s="3"/>
      <c r="BE151" s="99"/>
      <c r="BF151" s="89"/>
    </row>
    <row r="152" spans="1:58" s="115" customFormat="1" ht="33" customHeight="1">
      <c r="A152" s="155">
        <v>3</v>
      </c>
      <c r="B152" s="148" t="s">
        <v>295</v>
      </c>
      <c r="C152" s="137"/>
      <c r="D152" s="137"/>
      <c r="E152" s="137"/>
      <c r="F152" s="137"/>
      <c r="G152" s="87"/>
      <c r="H152" s="99" t="s">
        <v>185</v>
      </c>
      <c r="I152" s="33" t="s">
        <v>296</v>
      </c>
      <c r="J152" s="151">
        <f>+K152</f>
        <v>14000</v>
      </c>
      <c r="K152" s="151">
        <v>14000</v>
      </c>
      <c r="L152" s="3"/>
      <c r="M152" s="3"/>
      <c r="N152" s="3"/>
      <c r="O152" s="3"/>
      <c r="P152" s="3"/>
      <c r="Q152" s="3"/>
      <c r="R152" s="3">
        <f t="shared" si="156"/>
        <v>4630</v>
      </c>
      <c r="S152" s="3">
        <v>4630</v>
      </c>
      <c r="T152" s="3"/>
      <c r="U152" s="3"/>
      <c r="V152" s="3"/>
      <c r="W152" s="3"/>
      <c r="X152" s="3"/>
      <c r="Y152" s="3"/>
      <c r="Z152" s="3"/>
      <c r="AA152" s="3"/>
      <c r="AB152" s="3"/>
      <c r="AC152" s="3"/>
      <c r="AD152" s="3"/>
      <c r="AE152" s="4"/>
      <c r="AF152" s="4"/>
      <c r="AG152" s="4"/>
      <c r="AH152" s="4"/>
      <c r="AI152" s="4"/>
      <c r="AJ152" s="4"/>
      <c r="AK152" s="4"/>
      <c r="AL152" s="4"/>
      <c r="AM152" s="3"/>
      <c r="AN152" s="3"/>
      <c r="AO152" s="3"/>
      <c r="AP152" s="3"/>
      <c r="AQ152" s="12"/>
      <c r="AR152" s="12"/>
      <c r="AS152" s="12"/>
      <c r="AT152" s="12"/>
      <c r="AU152" s="12"/>
      <c r="AV152" s="12"/>
      <c r="AW152" s="12"/>
      <c r="AX152" s="3"/>
      <c r="AY152" s="3"/>
      <c r="AZ152" s="3"/>
      <c r="BA152" s="3">
        <f t="shared" si="157"/>
        <v>4630</v>
      </c>
      <c r="BB152" s="3">
        <v>4630</v>
      </c>
      <c r="BC152" s="3"/>
      <c r="BD152" s="3"/>
      <c r="BE152" s="99"/>
      <c r="BF152" s="89"/>
    </row>
    <row r="153" spans="1:58" s="146" customFormat="1" ht="37.5" customHeight="1">
      <c r="A153" s="198">
        <v>4</v>
      </c>
      <c r="B153" s="184" t="s">
        <v>297</v>
      </c>
      <c r="C153" s="99"/>
      <c r="D153" s="99"/>
      <c r="E153" s="174"/>
      <c r="F153" s="99"/>
      <c r="G153" s="33"/>
      <c r="H153" s="33"/>
      <c r="I153" s="33"/>
      <c r="J153" s="151">
        <v>15000</v>
      </c>
      <c r="K153" s="151">
        <v>6000</v>
      </c>
      <c r="L153" s="3"/>
      <c r="M153" s="3"/>
      <c r="N153" s="3"/>
      <c r="O153" s="3"/>
      <c r="P153" s="3"/>
      <c r="Q153" s="3"/>
      <c r="R153" s="3">
        <f>+S153</f>
        <v>4000</v>
      </c>
      <c r="S153" s="3">
        <v>4000</v>
      </c>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12"/>
      <c r="AR153" s="12"/>
      <c r="AS153" s="12"/>
      <c r="AT153" s="12"/>
      <c r="AU153" s="12"/>
      <c r="AV153" s="12"/>
      <c r="AW153" s="12"/>
      <c r="AX153" s="3"/>
      <c r="AY153" s="3"/>
      <c r="AZ153" s="3"/>
      <c r="BA153" s="3">
        <f>+BB153</f>
        <v>4000</v>
      </c>
      <c r="BB153" s="3">
        <v>4000</v>
      </c>
      <c r="BC153" s="3"/>
      <c r="BD153" s="3"/>
      <c r="BE153" s="2"/>
      <c r="BF153" s="57"/>
    </row>
    <row r="154" spans="1:58" s="89" customFormat="1" ht="28.5" customHeight="1">
      <c r="A154" s="142"/>
      <c r="B154" s="86" t="s">
        <v>90</v>
      </c>
      <c r="C154" s="87"/>
      <c r="D154" s="87"/>
      <c r="E154" s="87"/>
      <c r="F154" s="87"/>
      <c r="G154" s="87"/>
      <c r="H154" s="87"/>
      <c r="I154" s="8"/>
      <c r="J154" s="4"/>
      <c r="K154" s="4"/>
      <c r="L154" s="4"/>
      <c r="M154" s="4"/>
      <c r="N154" s="4"/>
      <c r="O154" s="4"/>
      <c r="P154" s="3"/>
      <c r="Q154" s="3"/>
      <c r="R154" s="4"/>
      <c r="S154" s="4"/>
      <c r="T154" s="4"/>
      <c r="U154" s="4"/>
      <c r="V154" s="4"/>
      <c r="W154" s="4"/>
      <c r="X154" s="4"/>
      <c r="Y154" s="4"/>
      <c r="Z154" s="4"/>
      <c r="AA154" s="4"/>
      <c r="AB154" s="4">
        <v>26816</v>
      </c>
      <c r="AC154" s="4"/>
      <c r="AD154" s="4"/>
      <c r="AE154" s="4"/>
      <c r="AF154" s="4"/>
      <c r="AG154" s="4"/>
      <c r="AH154" s="4"/>
      <c r="AI154" s="4"/>
      <c r="AJ154" s="4"/>
      <c r="AK154" s="4"/>
      <c r="AL154" s="4"/>
      <c r="AM154" s="4"/>
      <c r="AN154" s="4">
        <v>28115.131023861421</v>
      </c>
      <c r="AO154" s="4"/>
      <c r="AP154" s="4"/>
      <c r="AQ154" s="22"/>
      <c r="AR154" s="22"/>
      <c r="AS154" s="22"/>
      <c r="AT154" s="22"/>
      <c r="AU154" s="22">
        <v>33237</v>
      </c>
      <c r="AV154" s="22"/>
      <c r="AW154" s="22"/>
      <c r="AX154" s="4"/>
      <c r="AY154" s="4"/>
      <c r="AZ154" s="4"/>
      <c r="BA154" s="4"/>
      <c r="BB154" s="4"/>
      <c r="BC154" s="4"/>
      <c r="BD154" s="4"/>
      <c r="BE154" s="27"/>
    </row>
    <row r="155" spans="1:58" s="115" customFormat="1" ht="30.95" customHeight="1">
      <c r="A155" s="126" t="s">
        <v>298</v>
      </c>
      <c r="B155" s="127" t="s">
        <v>299</v>
      </c>
      <c r="C155" s="87"/>
      <c r="D155" s="87"/>
      <c r="E155" s="87"/>
      <c r="F155" s="87"/>
      <c r="G155" s="92"/>
      <c r="H155" s="87"/>
      <c r="I155" s="8"/>
      <c r="J155" s="4">
        <f>J156+J161+J171</f>
        <v>475846</v>
      </c>
      <c r="K155" s="4">
        <f t="shared" ref="K155:BD155" si="158">K156+K161+K171</f>
        <v>123706</v>
      </c>
      <c r="L155" s="4">
        <f t="shared" si="158"/>
        <v>0</v>
      </c>
      <c r="M155" s="4">
        <f t="shared" si="158"/>
        <v>0</v>
      </c>
      <c r="N155" s="4">
        <f t="shared" si="158"/>
        <v>0</v>
      </c>
      <c r="O155" s="4">
        <f t="shared" si="158"/>
        <v>0</v>
      </c>
      <c r="P155" s="4">
        <f t="shared" si="158"/>
        <v>455</v>
      </c>
      <c r="Q155" s="4">
        <f t="shared" si="158"/>
        <v>455</v>
      </c>
      <c r="R155" s="4">
        <f t="shared" si="158"/>
        <v>95613</v>
      </c>
      <c r="S155" s="4">
        <f t="shared" si="158"/>
        <v>95613</v>
      </c>
      <c r="T155" s="4">
        <f t="shared" si="158"/>
        <v>0</v>
      </c>
      <c r="U155" s="4">
        <f t="shared" si="158"/>
        <v>0</v>
      </c>
      <c r="V155" s="4">
        <f t="shared" si="158"/>
        <v>314020</v>
      </c>
      <c r="W155" s="4">
        <f t="shared" si="158"/>
        <v>455</v>
      </c>
      <c r="X155" s="4">
        <f t="shared" si="158"/>
        <v>455</v>
      </c>
      <c r="Y155" s="4">
        <f t="shared" si="158"/>
        <v>0</v>
      </c>
      <c r="Z155" s="4">
        <f t="shared" si="158"/>
        <v>0</v>
      </c>
      <c r="AA155" s="4">
        <f t="shared" si="158"/>
        <v>12390</v>
      </c>
      <c r="AB155" s="4">
        <f t="shared" si="158"/>
        <v>12390</v>
      </c>
      <c r="AC155" s="4">
        <f t="shared" si="158"/>
        <v>0</v>
      </c>
      <c r="AD155" s="4">
        <f t="shared" si="158"/>
        <v>0</v>
      </c>
      <c r="AE155" s="4">
        <f t="shared" si="158"/>
        <v>14845</v>
      </c>
      <c r="AF155" s="4">
        <f t="shared" si="158"/>
        <v>14845</v>
      </c>
      <c r="AG155" s="4">
        <f t="shared" si="158"/>
        <v>0</v>
      </c>
      <c r="AH155" s="4">
        <f t="shared" si="158"/>
        <v>0</v>
      </c>
      <c r="AI155" s="4">
        <f t="shared" si="158"/>
        <v>11250</v>
      </c>
      <c r="AJ155" s="4">
        <f t="shared" si="158"/>
        <v>11250</v>
      </c>
      <c r="AK155" s="4">
        <f t="shared" si="158"/>
        <v>0</v>
      </c>
      <c r="AL155" s="4">
        <f t="shared" si="158"/>
        <v>0</v>
      </c>
      <c r="AM155" s="4">
        <f t="shared" si="158"/>
        <v>13250</v>
      </c>
      <c r="AN155" s="4">
        <f t="shared" si="158"/>
        <v>13250</v>
      </c>
      <c r="AO155" s="4">
        <f t="shared" si="158"/>
        <v>0</v>
      </c>
      <c r="AP155" s="4">
        <f t="shared" si="158"/>
        <v>0</v>
      </c>
      <c r="AQ155" s="4">
        <f t="shared" si="158"/>
        <v>327270</v>
      </c>
      <c r="AR155" s="4">
        <f t="shared" si="158"/>
        <v>28095</v>
      </c>
      <c r="AS155" s="4">
        <f t="shared" si="158"/>
        <v>28095</v>
      </c>
      <c r="AT155" s="4">
        <f t="shared" si="158"/>
        <v>43596</v>
      </c>
      <c r="AU155" s="4">
        <f t="shared" si="158"/>
        <v>43596</v>
      </c>
      <c r="AV155" s="4">
        <f t="shared" si="158"/>
        <v>0</v>
      </c>
      <c r="AW155" s="4">
        <f t="shared" si="158"/>
        <v>0</v>
      </c>
      <c r="AX155" s="4">
        <f t="shared" si="158"/>
        <v>370846</v>
      </c>
      <c r="AY155" s="4">
        <f t="shared" si="158"/>
        <v>71671</v>
      </c>
      <c r="AZ155" s="4">
        <f t="shared" si="158"/>
        <v>71671</v>
      </c>
      <c r="BA155" s="4">
        <f t="shared" si="158"/>
        <v>22113</v>
      </c>
      <c r="BB155" s="4">
        <f>BB156+BB161+BB171</f>
        <v>22113</v>
      </c>
      <c r="BC155" s="4">
        <f t="shared" si="158"/>
        <v>0</v>
      </c>
      <c r="BD155" s="4">
        <f t="shared" si="158"/>
        <v>0</v>
      </c>
      <c r="BE155" s="134"/>
      <c r="BF155" s="89"/>
    </row>
    <row r="156" spans="1:58" s="115" customFormat="1" ht="36" customHeight="1">
      <c r="A156" s="85" t="s">
        <v>92</v>
      </c>
      <c r="B156" s="91" t="s">
        <v>93</v>
      </c>
      <c r="C156" s="87"/>
      <c r="D156" s="87"/>
      <c r="E156" s="87"/>
      <c r="F156" s="87"/>
      <c r="G156" s="87"/>
      <c r="H156" s="87"/>
      <c r="I156" s="8"/>
      <c r="J156" s="4">
        <f>J157</f>
        <v>372546</v>
      </c>
      <c r="K156" s="4">
        <f t="shared" ref="K156:BD156" si="159">K157</f>
        <v>20406</v>
      </c>
      <c r="L156" s="4">
        <f t="shared" si="159"/>
        <v>0</v>
      </c>
      <c r="M156" s="4">
        <f t="shared" si="159"/>
        <v>0</v>
      </c>
      <c r="N156" s="4">
        <f t="shared" si="159"/>
        <v>0</v>
      </c>
      <c r="O156" s="4">
        <f t="shared" si="159"/>
        <v>0</v>
      </c>
      <c r="P156" s="4">
        <f t="shared" si="159"/>
        <v>0</v>
      </c>
      <c r="Q156" s="4">
        <f t="shared" si="159"/>
        <v>0</v>
      </c>
      <c r="R156" s="4">
        <f t="shared" si="159"/>
        <v>9500</v>
      </c>
      <c r="S156" s="4">
        <f t="shared" si="159"/>
        <v>9500</v>
      </c>
      <c r="T156" s="4">
        <f t="shared" si="159"/>
        <v>0</v>
      </c>
      <c r="U156" s="4">
        <f t="shared" si="159"/>
        <v>0</v>
      </c>
      <c r="V156" s="4">
        <f t="shared" si="159"/>
        <v>301720</v>
      </c>
      <c r="W156" s="4">
        <f t="shared" si="159"/>
        <v>0</v>
      </c>
      <c r="X156" s="4">
        <f t="shared" si="159"/>
        <v>0</v>
      </c>
      <c r="Y156" s="4">
        <f t="shared" si="159"/>
        <v>0</v>
      </c>
      <c r="Z156" s="4">
        <f t="shared" si="159"/>
        <v>0</v>
      </c>
      <c r="AA156" s="4">
        <f t="shared" si="159"/>
        <v>0</v>
      </c>
      <c r="AB156" s="4">
        <f t="shared" si="159"/>
        <v>0</v>
      </c>
      <c r="AC156" s="4">
        <f t="shared" si="159"/>
        <v>0</v>
      </c>
      <c r="AD156" s="4">
        <f t="shared" si="159"/>
        <v>0</v>
      </c>
      <c r="AE156" s="4">
        <f t="shared" si="159"/>
        <v>2000</v>
      </c>
      <c r="AF156" s="4">
        <f t="shared" si="159"/>
        <v>2000</v>
      </c>
      <c r="AG156" s="4"/>
      <c r="AH156" s="4"/>
      <c r="AI156" s="4">
        <f t="shared" si="159"/>
        <v>0</v>
      </c>
      <c r="AJ156" s="4">
        <f t="shared" si="159"/>
        <v>0</v>
      </c>
      <c r="AK156" s="4">
        <f t="shared" si="159"/>
        <v>0</v>
      </c>
      <c r="AL156" s="4">
        <f t="shared" si="159"/>
        <v>0</v>
      </c>
      <c r="AM156" s="4">
        <f t="shared" si="159"/>
        <v>2000</v>
      </c>
      <c r="AN156" s="4">
        <f t="shared" si="159"/>
        <v>2000</v>
      </c>
      <c r="AO156" s="4">
        <f t="shared" si="159"/>
        <v>0</v>
      </c>
      <c r="AP156" s="4">
        <f t="shared" si="159"/>
        <v>0</v>
      </c>
      <c r="AQ156" s="22">
        <f t="shared" si="159"/>
        <v>303720</v>
      </c>
      <c r="AR156" s="22">
        <f t="shared" si="159"/>
        <v>4000</v>
      </c>
      <c r="AS156" s="22">
        <f t="shared" si="159"/>
        <v>4000</v>
      </c>
      <c r="AT156" s="22">
        <f t="shared" si="159"/>
        <v>1000</v>
      </c>
      <c r="AU156" s="22">
        <f t="shared" si="159"/>
        <v>1000</v>
      </c>
      <c r="AV156" s="22">
        <f t="shared" si="159"/>
        <v>0</v>
      </c>
      <c r="AW156" s="22">
        <f t="shared" si="159"/>
        <v>0</v>
      </c>
      <c r="AX156" s="4">
        <f t="shared" si="159"/>
        <v>304720</v>
      </c>
      <c r="AY156" s="4">
        <f t="shared" si="159"/>
        <v>5000</v>
      </c>
      <c r="AZ156" s="4">
        <f t="shared" si="159"/>
        <v>5000</v>
      </c>
      <c r="BA156" s="4">
        <f t="shared" si="159"/>
        <v>2500</v>
      </c>
      <c r="BB156" s="4">
        <f t="shared" si="159"/>
        <v>2500</v>
      </c>
      <c r="BC156" s="22">
        <f t="shared" si="159"/>
        <v>0</v>
      </c>
      <c r="BD156" s="22">
        <f t="shared" si="159"/>
        <v>0</v>
      </c>
      <c r="BE156" s="134"/>
      <c r="BF156" s="89"/>
    </row>
    <row r="157" spans="1:58" s="115" customFormat="1" ht="36" customHeight="1">
      <c r="A157" s="142" t="s">
        <v>150</v>
      </c>
      <c r="B157" s="93" t="s">
        <v>161</v>
      </c>
      <c r="C157" s="87"/>
      <c r="D157" s="87"/>
      <c r="E157" s="87"/>
      <c r="F157" s="87"/>
      <c r="G157" s="87"/>
      <c r="H157" s="87"/>
      <c r="I157" s="8"/>
      <c r="J157" s="4">
        <f>J159</f>
        <v>372546</v>
      </c>
      <c r="K157" s="4">
        <f t="shared" ref="K157:BD157" si="160">K159</f>
        <v>20406</v>
      </c>
      <c r="L157" s="4">
        <f t="shared" si="160"/>
        <v>0</v>
      </c>
      <c r="M157" s="4">
        <f t="shared" si="160"/>
        <v>0</v>
      </c>
      <c r="N157" s="4">
        <f t="shared" si="160"/>
        <v>0</v>
      </c>
      <c r="O157" s="4">
        <f t="shared" si="160"/>
        <v>0</v>
      </c>
      <c r="P157" s="4">
        <f t="shared" si="160"/>
        <v>0</v>
      </c>
      <c r="Q157" s="4">
        <f t="shared" si="160"/>
        <v>0</v>
      </c>
      <c r="R157" s="4">
        <f t="shared" si="160"/>
        <v>9500</v>
      </c>
      <c r="S157" s="4">
        <f t="shared" si="160"/>
        <v>9500</v>
      </c>
      <c r="T157" s="4">
        <f t="shared" si="160"/>
        <v>0</v>
      </c>
      <c r="U157" s="4">
        <f t="shared" si="160"/>
        <v>0</v>
      </c>
      <c r="V157" s="4">
        <f t="shared" si="160"/>
        <v>301720</v>
      </c>
      <c r="W157" s="4">
        <f t="shared" si="160"/>
        <v>0</v>
      </c>
      <c r="X157" s="4">
        <f t="shared" si="160"/>
        <v>0</v>
      </c>
      <c r="Y157" s="4">
        <f t="shared" si="160"/>
        <v>0</v>
      </c>
      <c r="Z157" s="4">
        <f t="shared" si="160"/>
        <v>0</v>
      </c>
      <c r="AA157" s="4">
        <f t="shared" si="160"/>
        <v>0</v>
      </c>
      <c r="AB157" s="4">
        <f t="shared" si="160"/>
        <v>0</v>
      </c>
      <c r="AC157" s="4">
        <f t="shared" si="160"/>
        <v>0</v>
      </c>
      <c r="AD157" s="4">
        <f t="shared" si="160"/>
        <v>0</v>
      </c>
      <c r="AE157" s="4">
        <f t="shared" si="160"/>
        <v>2000</v>
      </c>
      <c r="AF157" s="4">
        <f t="shared" si="160"/>
        <v>2000</v>
      </c>
      <c r="AG157" s="4">
        <f t="shared" si="160"/>
        <v>0</v>
      </c>
      <c r="AH157" s="4">
        <f t="shared" si="160"/>
        <v>0</v>
      </c>
      <c r="AI157" s="4">
        <f t="shared" si="160"/>
        <v>0</v>
      </c>
      <c r="AJ157" s="4">
        <f t="shared" si="160"/>
        <v>0</v>
      </c>
      <c r="AK157" s="4">
        <f t="shared" si="160"/>
        <v>0</v>
      </c>
      <c r="AL157" s="4">
        <f t="shared" si="160"/>
        <v>0</v>
      </c>
      <c r="AM157" s="4">
        <f t="shared" si="160"/>
        <v>2000</v>
      </c>
      <c r="AN157" s="4">
        <f t="shared" si="160"/>
        <v>2000</v>
      </c>
      <c r="AO157" s="4">
        <f t="shared" si="160"/>
        <v>0</v>
      </c>
      <c r="AP157" s="4">
        <f t="shared" si="160"/>
        <v>0</v>
      </c>
      <c r="AQ157" s="4">
        <f t="shared" si="160"/>
        <v>303720</v>
      </c>
      <c r="AR157" s="4">
        <f t="shared" si="160"/>
        <v>4000</v>
      </c>
      <c r="AS157" s="4">
        <f t="shared" si="160"/>
        <v>4000</v>
      </c>
      <c r="AT157" s="4">
        <f t="shared" si="160"/>
        <v>1000</v>
      </c>
      <c r="AU157" s="4">
        <f t="shared" si="160"/>
        <v>1000</v>
      </c>
      <c r="AV157" s="4">
        <f t="shared" si="160"/>
        <v>0</v>
      </c>
      <c r="AW157" s="4">
        <f t="shared" si="160"/>
        <v>0</v>
      </c>
      <c r="AX157" s="4">
        <f t="shared" si="160"/>
        <v>304720</v>
      </c>
      <c r="AY157" s="4">
        <f t="shared" si="160"/>
        <v>5000</v>
      </c>
      <c r="AZ157" s="4">
        <f t="shared" si="160"/>
        <v>5000</v>
      </c>
      <c r="BA157" s="4">
        <f t="shared" si="160"/>
        <v>2500</v>
      </c>
      <c r="BB157" s="4">
        <f t="shared" si="160"/>
        <v>2500</v>
      </c>
      <c r="BC157" s="4">
        <f t="shared" si="160"/>
        <v>0</v>
      </c>
      <c r="BD157" s="4">
        <f t="shared" si="160"/>
        <v>0</v>
      </c>
      <c r="BE157" s="134"/>
      <c r="BF157" s="89"/>
    </row>
    <row r="158" spans="1:58" s="146" customFormat="1" ht="45" hidden="1" customHeight="1">
      <c r="A158" s="155">
        <v>1</v>
      </c>
      <c r="B158" s="201" t="s">
        <v>300</v>
      </c>
      <c r="C158" s="99" t="s">
        <v>301</v>
      </c>
      <c r="D158" s="99"/>
      <c r="E158" s="174" t="s">
        <v>302</v>
      </c>
      <c r="F158" s="99"/>
      <c r="G158" s="99"/>
      <c r="H158" s="99"/>
      <c r="I158" s="15" t="s">
        <v>303</v>
      </c>
      <c r="J158" s="3">
        <v>104700</v>
      </c>
      <c r="K158" s="3">
        <v>28682</v>
      </c>
      <c r="L158" s="3">
        <v>78018.456000000006</v>
      </c>
      <c r="M158" s="3">
        <v>2000</v>
      </c>
      <c r="N158" s="3">
        <v>78018.456000000006</v>
      </c>
      <c r="O158" s="3">
        <v>2000</v>
      </c>
      <c r="P158" s="3">
        <f>L158+W158</f>
        <v>89446.456000000006</v>
      </c>
      <c r="Q158" s="3">
        <f>M158+X158</f>
        <v>13428</v>
      </c>
      <c r="R158" s="3">
        <f>S158</f>
        <v>21805</v>
      </c>
      <c r="S158" s="3">
        <v>21805</v>
      </c>
      <c r="T158" s="3">
        <v>0</v>
      </c>
      <c r="U158" s="3">
        <v>6521</v>
      </c>
      <c r="V158" s="3">
        <f>78018+11428+3000</f>
        <v>92446</v>
      </c>
      <c r="W158" s="3">
        <f>12428-1000</f>
        <v>11428</v>
      </c>
      <c r="X158" s="3">
        <f>W158</f>
        <v>11428</v>
      </c>
      <c r="Y158" s="3"/>
      <c r="Z158" s="3">
        <v>6521</v>
      </c>
      <c r="AA158" s="3">
        <v>3000</v>
      </c>
      <c r="AB158" s="3">
        <v>3000</v>
      </c>
      <c r="AC158" s="3"/>
      <c r="AD158" s="3"/>
      <c r="AE158" s="3">
        <f>W158+AA158</f>
        <v>14428</v>
      </c>
      <c r="AF158" s="3">
        <f>X158+AB158</f>
        <v>14428</v>
      </c>
      <c r="AG158" s="3"/>
      <c r="AH158" s="3"/>
      <c r="AI158" s="3">
        <f t="shared" ref="AI158:AL188" si="161">AM158</f>
        <v>3000</v>
      </c>
      <c r="AJ158" s="3">
        <f t="shared" si="161"/>
        <v>3000</v>
      </c>
      <c r="AK158" s="3">
        <f t="shared" si="161"/>
        <v>0</v>
      </c>
      <c r="AL158" s="3">
        <f t="shared" si="161"/>
        <v>0</v>
      </c>
      <c r="AM158" s="3">
        <f>AN158</f>
        <v>3000</v>
      </c>
      <c r="AN158" s="3">
        <v>3000</v>
      </c>
      <c r="AO158" s="3"/>
      <c r="AP158" s="3"/>
      <c r="AQ158" s="12">
        <f>V158+AN158</f>
        <v>95446</v>
      </c>
      <c r="AR158" s="12">
        <f t="shared" ref="AR158:AR160" si="162">AS158</f>
        <v>17428</v>
      </c>
      <c r="AS158" s="12">
        <f t="shared" ref="AS158:AS160" si="163">AF158+AN158</f>
        <v>17428</v>
      </c>
      <c r="AT158" s="12">
        <f t="shared" ref="AT158:AT160" si="164">AU158</f>
        <v>0</v>
      </c>
      <c r="AU158" s="12"/>
      <c r="AV158" s="12"/>
      <c r="AW158" s="12"/>
      <c r="AX158" s="3"/>
      <c r="AY158" s="3"/>
      <c r="AZ158" s="3"/>
      <c r="BA158" s="3"/>
      <c r="BB158" s="3"/>
      <c r="BC158" s="3"/>
      <c r="BD158" s="3"/>
      <c r="BE158" s="145"/>
      <c r="BF158" s="57"/>
    </row>
    <row r="159" spans="1:58" ht="56.45" customHeight="1">
      <c r="A159" s="203" t="s">
        <v>66</v>
      </c>
      <c r="B159" s="204" t="s">
        <v>304</v>
      </c>
      <c r="C159" s="105" t="s">
        <v>54</v>
      </c>
      <c r="D159" s="105"/>
      <c r="E159" s="105" t="s">
        <v>305</v>
      </c>
      <c r="F159" s="105"/>
      <c r="G159" s="105"/>
      <c r="H159" s="105"/>
      <c r="I159" s="36" t="s">
        <v>306</v>
      </c>
      <c r="J159" s="173">
        <v>372546</v>
      </c>
      <c r="K159" s="173">
        <v>20406</v>
      </c>
      <c r="L159" s="12"/>
      <c r="M159" s="12"/>
      <c r="N159" s="12"/>
      <c r="O159" s="12"/>
      <c r="P159" s="3"/>
      <c r="Q159" s="3"/>
      <c r="R159" s="12">
        <f>S159</f>
        <v>9500</v>
      </c>
      <c r="S159" s="12">
        <v>9500</v>
      </c>
      <c r="T159" s="12"/>
      <c r="U159" s="12"/>
      <c r="V159" s="3">
        <f>299720+2000</f>
        <v>301720</v>
      </c>
      <c r="W159" s="3"/>
      <c r="X159" s="3"/>
      <c r="Y159" s="3"/>
      <c r="Z159" s="3"/>
      <c r="AA159" s="3"/>
      <c r="AB159" s="3"/>
      <c r="AC159" s="3"/>
      <c r="AD159" s="3"/>
      <c r="AE159" s="3">
        <f>AF159</f>
        <v>2000</v>
      </c>
      <c r="AF159" s="3">
        <v>2000</v>
      </c>
      <c r="AG159" s="3"/>
      <c r="AH159" s="3"/>
      <c r="AI159" s="3"/>
      <c r="AJ159" s="3"/>
      <c r="AK159" s="3"/>
      <c r="AL159" s="3"/>
      <c r="AM159" s="3">
        <f>AN159</f>
        <v>2000</v>
      </c>
      <c r="AN159" s="3">
        <v>2000</v>
      </c>
      <c r="AO159" s="3"/>
      <c r="AP159" s="3"/>
      <c r="AQ159" s="12">
        <f>V159+AN159</f>
        <v>303720</v>
      </c>
      <c r="AR159" s="12">
        <f t="shared" si="162"/>
        <v>4000</v>
      </c>
      <c r="AS159" s="12">
        <f t="shared" si="163"/>
        <v>4000</v>
      </c>
      <c r="AT159" s="12">
        <f t="shared" si="164"/>
        <v>1000</v>
      </c>
      <c r="AU159" s="12">
        <v>1000</v>
      </c>
      <c r="AV159" s="12"/>
      <c r="AW159" s="12"/>
      <c r="AX159" s="3">
        <f t="shared" ref="AX159" si="165">AQ159+AU159</f>
        <v>304720</v>
      </c>
      <c r="AY159" s="3">
        <f t="shared" ref="AY159" si="166">AZ159</f>
        <v>5000</v>
      </c>
      <c r="AZ159" s="3">
        <f t="shared" ref="AZ159" si="167">AS159+AU159</f>
        <v>5000</v>
      </c>
      <c r="BA159" s="3">
        <f t="shared" ref="BA159" si="168">BB159</f>
        <v>2500</v>
      </c>
      <c r="BB159" s="3">
        <v>2500</v>
      </c>
      <c r="BC159" s="3"/>
      <c r="BD159" s="3"/>
      <c r="BE159" s="145" t="s">
        <v>156</v>
      </c>
    </row>
    <row r="160" spans="1:58" s="64" customFormat="1" ht="38.450000000000003" hidden="1" customHeight="1">
      <c r="A160" s="155">
        <v>2</v>
      </c>
      <c r="B160" s="136" t="s">
        <v>307</v>
      </c>
      <c r="C160" s="99" t="s">
        <v>301</v>
      </c>
      <c r="D160" s="99"/>
      <c r="E160" s="174" t="s">
        <v>302</v>
      </c>
      <c r="F160" s="99"/>
      <c r="G160" s="149"/>
      <c r="H160" s="99" t="s">
        <v>308</v>
      </c>
      <c r="I160" s="15" t="s">
        <v>309</v>
      </c>
      <c r="J160" s="16">
        <v>7800</v>
      </c>
      <c r="K160" s="16">
        <v>7800</v>
      </c>
      <c r="L160" s="3"/>
      <c r="M160" s="3"/>
      <c r="N160" s="3"/>
      <c r="O160" s="3"/>
      <c r="P160" s="3">
        <f t="shared" ref="P160:Q160" si="169">L160+W160</f>
        <v>104</v>
      </c>
      <c r="Q160" s="3">
        <f t="shared" si="169"/>
        <v>104</v>
      </c>
      <c r="R160" s="3">
        <f>S160</f>
        <v>7800</v>
      </c>
      <c r="S160" s="3">
        <v>7800</v>
      </c>
      <c r="T160" s="3"/>
      <c r="U160" s="3"/>
      <c r="V160" s="3">
        <v>2500</v>
      </c>
      <c r="W160" s="3">
        <v>104</v>
      </c>
      <c r="X160" s="3">
        <v>104</v>
      </c>
      <c r="Y160" s="3"/>
      <c r="Z160" s="3"/>
      <c r="AA160" s="3">
        <v>2500</v>
      </c>
      <c r="AB160" s="3">
        <v>2500</v>
      </c>
      <c r="AC160" s="3"/>
      <c r="AD160" s="3"/>
      <c r="AE160" s="3">
        <f>W160+AA160+382.721</f>
        <v>2986.721</v>
      </c>
      <c r="AF160" s="3">
        <f>X160+AB160+382.721</f>
        <v>2986.721</v>
      </c>
      <c r="AG160" s="3"/>
      <c r="AH160" s="3"/>
      <c r="AI160" s="3">
        <f t="shared" ref="AI160:AL160" si="170">AM160</f>
        <v>4300</v>
      </c>
      <c r="AJ160" s="3">
        <f t="shared" si="170"/>
        <v>4300</v>
      </c>
      <c r="AK160" s="3">
        <f t="shared" si="170"/>
        <v>0</v>
      </c>
      <c r="AL160" s="3">
        <f t="shared" si="170"/>
        <v>0</v>
      </c>
      <c r="AM160" s="3">
        <f t="shared" ref="AM160" si="171">AN160</f>
        <v>4300</v>
      </c>
      <c r="AN160" s="3">
        <v>4300</v>
      </c>
      <c r="AO160" s="3"/>
      <c r="AP160" s="3"/>
      <c r="AQ160" s="12">
        <f>V160+AN160</f>
        <v>6800</v>
      </c>
      <c r="AR160" s="12">
        <f t="shared" si="162"/>
        <v>7286.7209999999995</v>
      </c>
      <c r="AS160" s="12">
        <f t="shared" si="163"/>
        <v>7286.7209999999995</v>
      </c>
      <c r="AT160" s="12">
        <f t="shared" si="164"/>
        <v>0</v>
      </c>
      <c r="AU160" s="12"/>
      <c r="AV160" s="12"/>
      <c r="AW160" s="12"/>
      <c r="AX160" s="3"/>
      <c r="AY160" s="3"/>
      <c r="AZ160" s="3"/>
      <c r="BA160" s="3"/>
      <c r="BB160" s="3"/>
      <c r="BC160" s="3"/>
      <c r="BD160" s="3"/>
      <c r="BE160" s="99"/>
      <c r="BF160" s="111"/>
    </row>
    <row r="161" spans="1:58" s="115" customFormat="1" ht="39.200000000000003" customHeight="1">
      <c r="A161" s="85" t="s">
        <v>103</v>
      </c>
      <c r="B161" s="91" t="s">
        <v>160</v>
      </c>
      <c r="C161" s="87"/>
      <c r="D161" s="87"/>
      <c r="E161" s="87"/>
      <c r="F161" s="87"/>
      <c r="G161" s="87"/>
      <c r="H161" s="87"/>
      <c r="I161" s="8"/>
      <c r="J161" s="4">
        <f>J162</f>
        <v>89300</v>
      </c>
      <c r="K161" s="4">
        <f t="shared" ref="K161:BD161" si="172">K162</f>
        <v>89300</v>
      </c>
      <c r="L161" s="4">
        <f t="shared" si="172"/>
        <v>0</v>
      </c>
      <c r="M161" s="4">
        <f t="shared" si="172"/>
        <v>0</v>
      </c>
      <c r="N161" s="4">
        <f t="shared" si="172"/>
        <v>0</v>
      </c>
      <c r="O161" s="4">
        <f t="shared" si="172"/>
        <v>0</v>
      </c>
      <c r="P161" s="4">
        <f t="shared" si="172"/>
        <v>455</v>
      </c>
      <c r="Q161" s="4">
        <f t="shared" si="172"/>
        <v>455</v>
      </c>
      <c r="R161" s="4">
        <f t="shared" si="172"/>
        <v>83200</v>
      </c>
      <c r="S161" s="4">
        <f t="shared" si="172"/>
        <v>83200</v>
      </c>
      <c r="T161" s="4">
        <f t="shared" si="172"/>
        <v>0</v>
      </c>
      <c r="U161" s="4">
        <f t="shared" si="172"/>
        <v>0</v>
      </c>
      <c r="V161" s="4">
        <f t="shared" si="172"/>
        <v>12300</v>
      </c>
      <c r="W161" s="4">
        <f t="shared" si="172"/>
        <v>455</v>
      </c>
      <c r="X161" s="4">
        <f t="shared" si="172"/>
        <v>455</v>
      </c>
      <c r="Y161" s="4">
        <f t="shared" si="172"/>
        <v>0</v>
      </c>
      <c r="Z161" s="4">
        <f t="shared" si="172"/>
        <v>0</v>
      </c>
      <c r="AA161" s="4">
        <f t="shared" si="172"/>
        <v>12390</v>
      </c>
      <c r="AB161" s="4">
        <f t="shared" si="172"/>
        <v>12390</v>
      </c>
      <c r="AC161" s="4">
        <f t="shared" si="172"/>
        <v>0</v>
      </c>
      <c r="AD161" s="4">
        <f t="shared" si="172"/>
        <v>0</v>
      </c>
      <c r="AE161" s="4">
        <f t="shared" si="172"/>
        <v>12845</v>
      </c>
      <c r="AF161" s="4">
        <f t="shared" si="172"/>
        <v>12845</v>
      </c>
      <c r="AG161" s="4">
        <f t="shared" si="172"/>
        <v>0</v>
      </c>
      <c r="AH161" s="4">
        <f t="shared" si="172"/>
        <v>0</v>
      </c>
      <c r="AI161" s="4">
        <f t="shared" si="172"/>
        <v>11250</v>
      </c>
      <c r="AJ161" s="4">
        <f t="shared" si="172"/>
        <v>11250</v>
      </c>
      <c r="AK161" s="4">
        <f t="shared" si="172"/>
        <v>0</v>
      </c>
      <c r="AL161" s="4">
        <f t="shared" si="172"/>
        <v>0</v>
      </c>
      <c r="AM161" s="4">
        <f t="shared" si="172"/>
        <v>11250</v>
      </c>
      <c r="AN161" s="4">
        <f t="shared" si="172"/>
        <v>11250</v>
      </c>
      <c r="AO161" s="4">
        <f t="shared" si="172"/>
        <v>0</v>
      </c>
      <c r="AP161" s="4">
        <f t="shared" si="172"/>
        <v>0</v>
      </c>
      <c r="AQ161" s="4">
        <f t="shared" si="172"/>
        <v>23550</v>
      </c>
      <c r="AR161" s="4">
        <f t="shared" si="172"/>
        <v>24095</v>
      </c>
      <c r="AS161" s="4">
        <f t="shared" si="172"/>
        <v>24095</v>
      </c>
      <c r="AT161" s="4">
        <f t="shared" si="172"/>
        <v>42576</v>
      </c>
      <c r="AU161" s="4">
        <f t="shared" si="172"/>
        <v>42576</v>
      </c>
      <c r="AV161" s="4">
        <f t="shared" si="172"/>
        <v>0</v>
      </c>
      <c r="AW161" s="4">
        <f t="shared" si="172"/>
        <v>0</v>
      </c>
      <c r="AX161" s="4">
        <f t="shared" si="172"/>
        <v>66126</v>
      </c>
      <c r="AY161" s="4">
        <f t="shared" si="172"/>
        <v>66671</v>
      </c>
      <c r="AZ161" s="4">
        <f t="shared" si="172"/>
        <v>66671</v>
      </c>
      <c r="BA161" s="4">
        <f t="shared" si="172"/>
        <v>16700</v>
      </c>
      <c r="BB161" s="4">
        <f t="shared" si="172"/>
        <v>16700</v>
      </c>
      <c r="BC161" s="4">
        <f t="shared" si="172"/>
        <v>0</v>
      </c>
      <c r="BD161" s="4">
        <f t="shared" si="172"/>
        <v>0</v>
      </c>
      <c r="BE161" s="87"/>
      <c r="BF161" s="89"/>
    </row>
    <row r="162" spans="1:58" s="115" customFormat="1" ht="30.2" customHeight="1">
      <c r="A162" s="85" t="s">
        <v>150</v>
      </c>
      <c r="B162" s="91" t="s">
        <v>95</v>
      </c>
      <c r="C162" s="87"/>
      <c r="D162" s="87"/>
      <c r="E162" s="87"/>
      <c r="F162" s="87"/>
      <c r="G162" s="87"/>
      <c r="H162" s="87"/>
      <c r="I162" s="8"/>
      <c r="J162" s="4">
        <f>SUM(J163:J170)</f>
        <v>89300</v>
      </c>
      <c r="K162" s="4">
        <f t="shared" ref="K162:BD162" si="173">SUM(K163:K170)</f>
        <v>89300</v>
      </c>
      <c r="L162" s="4">
        <f t="shared" si="173"/>
        <v>0</v>
      </c>
      <c r="M162" s="4">
        <f t="shared" si="173"/>
        <v>0</v>
      </c>
      <c r="N162" s="4">
        <f t="shared" si="173"/>
        <v>0</v>
      </c>
      <c r="O162" s="4">
        <f t="shared" si="173"/>
        <v>0</v>
      </c>
      <c r="P162" s="4">
        <f t="shared" si="173"/>
        <v>455</v>
      </c>
      <c r="Q162" s="4">
        <f t="shared" si="173"/>
        <v>455</v>
      </c>
      <c r="R162" s="4">
        <f t="shared" si="173"/>
        <v>83200</v>
      </c>
      <c r="S162" s="4">
        <f t="shared" si="173"/>
        <v>83200</v>
      </c>
      <c r="T162" s="4">
        <f t="shared" si="173"/>
        <v>0</v>
      </c>
      <c r="U162" s="4">
        <f t="shared" si="173"/>
        <v>0</v>
      </c>
      <c r="V162" s="4">
        <f t="shared" si="173"/>
        <v>12300</v>
      </c>
      <c r="W162" s="4">
        <f t="shared" si="173"/>
        <v>455</v>
      </c>
      <c r="X162" s="4">
        <f t="shared" si="173"/>
        <v>455</v>
      </c>
      <c r="Y162" s="4">
        <f t="shared" si="173"/>
        <v>0</v>
      </c>
      <c r="Z162" s="4">
        <f t="shared" si="173"/>
        <v>0</v>
      </c>
      <c r="AA162" s="4">
        <f t="shared" si="173"/>
        <v>12390</v>
      </c>
      <c r="AB162" s="4">
        <f t="shared" si="173"/>
        <v>12390</v>
      </c>
      <c r="AC162" s="4">
        <f t="shared" si="173"/>
        <v>0</v>
      </c>
      <c r="AD162" s="4">
        <f t="shared" si="173"/>
        <v>0</v>
      </c>
      <c r="AE162" s="4">
        <f t="shared" si="173"/>
        <v>12845</v>
      </c>
      <c r="AF162" s="4">
        <f t="shared" si="173"/>
        <v>12845</v>
      </c>
      <c r="AG162" s="4">
        <f t="shared" si="173"/>
        <v>0</v>
      </c>
      <c r="AH162" s="4">
        <f t="shared" si="173"/>
        <v>0</v>
      </c>
      <c r="AI162" s="4">
        <f t="shared" si="173"/>
        <v>11250</v>
      </c>
      <c r="AJ162" s="4">
        <f t="shared" si="173"/>
        <v>11250</v>
      </c>
      <c r="AK162" s="4">
        <f t="shared" si="173"/>
        <v>0</v>
      </c>
      <c r="AL162" s="4">
        <f t="shared" si="173"/>
        <v>0</v>
      </c>
      <c r="AM162" s="4">
        <f t="shared" si="173"/>
        <v>11250</v>
      </c>
      <c r="AN162" s="4">
        <f t="shared" si="173"/>
        <v>11250</v>
      </c>
      <c r="AO162" s="4">
        <f t="shared" si="173"/>
        <v>0</v>
      </c>
      <c r="AP162" s="4">
        <f t="shared" si="173"/>
        <v>0</v>
      </c>
      <c r="AQ162" s="4">
        <f t="shared" si="173"/>
        <v>23550</v>
      </c>
      <c r="AR162" s="4">
        <f t="shared" si="173"/>
        <v>24095</v>
      </c>
      <c r="AS162" s="4">
        <f t="shared" si="173"/>
        <v>24095</v>
      </c>
      <c r="AT162" s="4">
        <f t="shared" si="173"/>
        <v>42576</v>
      </c>
      <c r="AU162" s="4">
        <f t="shared" si="173"/>
        <v>42576</v>
      </c>
      <c r="AV162" s="4">
        <f t="shared" si="173"/>
        <v>0</v>
      </c>
      <c r="AW162" s="4">
        <f t="shared" si="173"/>
        <v>0</v>
      </c>
      <c r="AX162" s="4">
        <f t="shared" si="173"/>
        <v>66126</v>
      </c>
      <c r="AY162" s="4">
        <f t="shared" si="173"/>
        <v>66671</v>
      </c>
      <c r="AZ162" s="4">
        <f t="shared" si="173"/>
        <v>66671</v>
      </c>
      <c r="BA162" s="4">
        <f t="shared" si="173"/>
        <v>16700</v>
      </c>
      <c r="BB162" s="4">
        <f>SUM(BB163:BB170)</f>
        <v>16700</v>
      </c>
      <c r="BC162" s="4">
        <f t="shared" si="173"/>
        <v>0</v>
      </c>
      <c r="BD162" s="4">
        <f t="shared" si="173"/>
        <v>0</v>
      </c>
      <c r="BE162" s="87"/>
      <c r="BF162" s="89"/>
    </row>
    <row r="163" spans="1:58" s="64" customFormat="1" ht="40.700000000000003" hidden="1" customHeight="1">
      <c r="A163" s="155">
        <v>2</v>
      </c>
      <c r="B163" s="136" t="s">
        <v>310</v>
      </c>
      <c r="C163" s="99" t="s">
        <v>301</v>
      </c>
      <c r="D163" s="99"/>
      <c r="E163" s="174" t="s">
        <v>302</v>
      </c>
      <c r="F163" s="99"/>
      <c r="G163" s="149"/>
      <c r="H163" s="99" t="s">
        <v>311</v>
      </c>
      <c r="I163" s="2" t="s">
        <v>312</v>
      </c>
      <c r="J163" s="3">
        <v>21000</v>
      </c>
      <c r="K163" s="3">
        <v>21000</v>
      </c>
      <c r="L163" s="3"/>
      <c r="M163" s="3"/>
      <c r="N163" s="3"/>
      <c r="O163" s="3"/>
      <c r="P163" s="3">
        <f t="shared" ref="P163:Q164" si="174">L163+W163</f>
        <v>208</v>
      </c>
      <c r="Q163" s="3">
        <f t="shared" si="174"/>
        <v>208</v>
      </c>
      <c r="R163" s="3">
        <v>18900</v>
      </c>
      <c r="S163" s="3">
        <v>18900</v>
      </c>
      <c r="T163" s="3"/>
      <c r="U163" s="3"/>
      <c r="V163" s="3">
        <v>6300</v>
      </c>
      <c r="W163" s="3">
        <v>208</v>
      </c>
      <c r="X163" s="3">
        <v>208</v>
      </c>
      <c r="Y163" s="3"/>
      <c r="Z163" s="3"/>
      <c r="AA163" s="3">
        <v>6300</v>
      </c>
      <c r="AB163" s="3">
        <v>6300</v>
      </c>
      <c r="AC163" s="3"/>
      <c r="AD163" s="3"/>
      <c r="AE163" s="3">
        <f t="shared" ref="AE163:AF169" si="175">W163+AA163</f>
        <v>6508</v>
      </c>
      <c r="AF163" s="3">
        <f t="shared" si="175"/>
        <v>6508</v>
      </c>
      <c r="AG163" s="3"/>
      <c r="AH163" s="3"/>
      <c r="AI163" s="3">
        <f t="shared" ref="AI163:AJ163" si="176">AM163</f>
        <v>4600</v>
      </c>
      <c r="AJ163" s="3">
        <f t="shared" si="176"/>
        <v>4600</v>
      </c>
      <c r="AK163" s="3">
        <f t="shared" si="161"/>
        <v>0</v>
      </c>
      <c r="AL163" s="3">
        <f t="shared" si="161"/>
        <v>0</v>
      </c>
      <c r="AM163" s="3">
        <f t="shared" ref="AM163:AM164" si="177">AN163</f>
        <v>4600</v>
      </c>
      <c r="AN163" s="3">
        <v>4600</v>
      </c>
      <c r="AO163" s="3"/>
      <c r="AP163" s="3"/>
      <c r="AQ163" s="12">
        <f>V163+AN163</f>
        <v>10900</v>
      </c>
      <c r="AR163" s="12">
        <f t="shared" ref="AR163:AR165" si="178">AS163</f>
        <v>11108</v>
      </c>
      <c r="AS163" s="12">
        <f t="shared" ref="AS163:AS165" si="179">AF163+AN163</f>
        <v>11108</v>
      </c>
      <c r="AT163" s="12">
        <f t="shared" ref="AT163:AT165" si="180">AU163</f>
        <v>8000</v>
      </c>
      <c r="AU163" s="12">
        <f>7090+910</f>
        <v>8000</v>
      </c>
      <c r="AV163" s="12"/>
      <c r="AW163" s="12"/>
      <c r="AX163" s="3">
        <f t="shared" ref="AX163:AX170" si="181">AQ163+AU163</f>
        <v>18900</v>
      </c>
      <c r="AY163" s="3">
        <f t="shared" ref="AY163:AY170" si="182">AZ163</f>
        <v>19108</v>
      </c>
      <c r="AZ163" s="3">
        <f t="shared" ref="AZ163:AZ170" si="183">AS163+AU163</f>
        <v>19108</v>
      </c>
      <c r="BA163" s="3"/>
      <c r="BB163" s="3"/>
      <c r="BC163" s="3"/>
      <c r="BD163" s="3"/>
      <c r="BE163" s="145" t="s">
        <v>156</v>
      </c>
      <c r="BF163" s="111"/>
    </row>
    <row r="164" spans="1:58" s="64" customFormat="1" ht="38.25" hidden="1" customHeight="1">
      <c r="A164" s="72">
        <v>3</v>
      </c>
      <c r="B164" s="202" t="s">
        <v>313</v>
      </c>
      <c r="C164" s="99" t="s">
        <v>301</v>
      </c>
      <c r="D164" s="99"/>
      <c r="E164" s="174" t="s">
        <v>302</v>
      </c>
      <c r="F164" s="99"/>
      <c r="G164" s="149"/>
      <c r="H164" s="99" t="s">
        <v>311</v>
      </c>
      <c r="I164" s="2" t="s">
        <v>314</v>
      </c>
      <c r="J164" s="3">
        <v>20000</v>
      </c>
      <c r="K164" s="3">
        <v>20000</v>
      </c>
      <c r="L164" s="3"/>
      <c r="M164" s="3"/>
      <c r="N164" s="3"/>
      <c r="O164" s="3"/>
      <c r="P164" s="3">
        <f t="shared" si="174"/>
        <v>247</v>
      </c>
      <c r="Q164" s="3">
        <f t="shared" si="174"/>
        <v>247</v>
      </c>
      <c r="R164" s="3">
        <v>18000</v>
      </c>
      <c r="S164" s="3">
        <v>18000</v>
      </c>
      <c r="T164" s="3" t="s">
        <v>54</v>
      </c>
      <c r="U164" s="3"/>
      <c r="V164" s="3">
        <v>6000</v>
      </c>
      <c r="W164" s="3">
        <v>247</v>
      </c>
      <c r="X164" s="3">
        <v>247</v>
      </c>
      <c r="Y164" s="3"/>
      <c r="Z164" s="3"/>
      <c r="AA164" s="3">
        <v>6000</v>
      </c>
      <c r="AB164" s="3">
        <v>6000</v>
      </c>
      <c r="AC164" s="3"/>
      <c r="AD164" s="3"/>
      <c r="AE164" s="3">
        <f t="shared" si="175"/>
        <v>6247</v>
      </c>
      <c r="AF164" s="3">
        <f t="shared" si="175"/>
        <v>6247</v>
      </c>
      <c r="AG164" s="3"/>
      <c r="AH164" s="3"/>
      <c r="AI164" s="3">
        <f t="shared" si="161"/>
        <v>4000</v>
      </c>
      <c r="AJ164" s="3">
        <f t="shared" si="161"/>
        <v>4000</v>
      </c>
      <c r="AK164" s="3">
        <f t="shared" si="161"/>
        <v>0</v>
      </c>
      <c r="AL164" s="3">
        <f t="shared" si="161"/>
        <v>0</v>
      </c>
      <c r="AM164" s="3">
        <f t="shared" si="177"/>
        <v>4000</v>
      </c>
      <c r="AN164" s="3">
        <v>4000</v>
      </c>
      <c r="AO164" s="3"/>
      <c r="AP164" s="3"/>
      <c r="AQ164" s="12">
        <f>V164+AN164</f>
        <v>10000</v>
      </c>
      <c r="AR164" s="12">
        <f t="shared" si="178"/>
        <v>10247</v>
      </c>
      <c r="AS164" s="12">
        <f t="shared" si="179"/>
        <v>10247</v>
      </c>
      <c r="AT164" s="12">
        <f t="shared" si="180"/>
        <v>7752</v>
      </c>
      <c r="AU164" s="12">
        <f>7052+700</f>
        <v>7752</v>
      </c>
      <c r="AV164" s="12"/>
      <c r="AW164" s="12"/>
      <c r="AX164" s="3">
        <f t="shared" si="181"/>
        <v>17752</v>
      </c>
      <c r="AY164" s="3">
        <f t="shared" si="182"/>
        <v>17999</v>
      </c>
      <c r="AZ164" s="3">
        <f t="shared" si="183"/>
        <v>17999</v>
      </c>
      <c r="BA164" s="3">
        <f t="shared" ref="BA164:BA170" si="184">BB164</f>
        <v>0</v>
      </c>
      <c r="BB164" s="3"/>
      <c r="BC164" s="3"/>
      <c r="BD164" s="3"/>
      <c r="BE164" s="145" t="s">
        <v>156</v>
      </c>
      <c r="BF164" s="111"/>
    </row>
    <row r="165" spans="1:58" s="146" customFormat="1" ht="38.25" hidden="1" customHeight="1">
      <c r="A165" s="155">
        <v>4</v>
      </c>
      <c r="B165" s="136" t="s">
        <v>315</v>
      </c>
      <c r="C165" s="99" t="s">
        <v>301</v>
      </c>
      <c r="D165" s="99"/>
      <c r="E165" s="174" t="s">
        <v>302</v>
      </c>
      <c r="F165" s="99"/>
      <c r="G165" s="99" t="s">
        <v>316</v>
      </c>
      <c r="H165" s="99" t="s">
        <v>200</v>
      </c>
      <c r="I165" s="15" t="s">
        <v>317</v>
      </c>
      <c r="J165" s="3">
        <v>6900</v>
      </c>
      <c r="K165" s="3">
        <v>6900</v>
      </c>
      <c r="L165" s="3"/>
      <c r="M165" s="3"/>
      <c r="N165" s="3"/>
      <c r="O165" s="3"/>
      <c r="P165" s="3">
        <f>L165+W165</f>
        <v>0</v>
      </c>
      <c r="Q165" s="3">
        <f>M165+X165</f>
        <v>0</v>
      </c>
      <c r="R165" s="3">
        <f>S165</f>
        <v>6900</v>
      </c>
      <c r="S165" s="3">
        <v>6900</v>
      </c>
      <c r="T165" s="3"/>
      <c r="U165" s="3"/>
      <c r="V165" s="3"/>
      <c r="W165" s="3"/>
      <c r="X165" s="3"/>
      <c r="Y165" s="3"/>
      <c r="Z165" s="3"/>
      <c r="AA165" s="3">
        <v>90</v>
      </c>
      <c r="AB165" s="3">
        <v>90</v>
      </c>
      <c r="AC165" s="3"/>
      <c r="AD165" s="3"/>
      <c r="AE165" s="3">
        <f t="shared" si="175"/>
        <v>90</v>
      </c>
      <c r="AF165" s="3">
        <f t="shared" si="175"/>
        <v>90</v>
      </c>
      <c r="AG165" s="3"/>
      <c r="AH165" s="3"/>
      <c r="AI165" s="3">
        <f t="shared" si="161"/>
        <v>2500</v>
      </c>
      <c r="AJ165" s="3">
        <f t="shared" si="161"/>
        <v>2500</v>
      </c>
      <c r="AK165" s="3">
        <f t="shared" si="161"/>
        <v>0</v>
      </c>
      <c r="AL165" s="3">
        <f t="shared" si="161"/>
        <v>0</v>
      </c>
      <c r="AM165" s="3">
        <f>AN165</f>
        <v>2500</v>
      </c>
      <c r="AN165" s="3">
        <v>2500</v>
      </c>
      <c r="AO165" s="3"/>
      <c r="AP165" s="3"/>
      <c r="AQ165" s="3">
        <f>V165+AN165</f>
        <v>2500</v>
      </c>
      <c r="AR165" s="3">
        <f t="shared" si="178"/>
        <v>2590</v>
      </c>
      <c r="AS165" s="3">
        <f t="shared" si="179"/>
        <v>2590</v>
      </c>
      <c r="AT165" s="3">
        <f t="shared" si="180"/>
        <v>4300</v>
      </c>
      <c r="AU165" s="3">
        <f>2000+2300</f>
        <v>4300</v>
      </c>
      <c r="AV165" s="3"/>
      <c r="AW165" s="3"/>
      <c r="AX165" s="3">
        <f t="shared" si="181"/>
        <v>6800</v>
      </c>
      <c r="AY165" s="3">
        <f t="shared" si="182"/>
        <v>6890</v>
      </c>
      <c r="AZ165" s="3">
        <f t="shared" si="183"/>
        <v>6890</v>
      </c>
      <c r="BA165" s="3">
        <f t="shared" si="184"/>
        <v>0</v>
      </c>
      <c r="BB165" s="3"/>
      <c r="BC165" s="3"/>
      <c r="BD165" s="3"/>
      <c r="BE165" s="145"/>
      <c r="BF165" s="146">
        <f>AU165</f>
        <v>4300</v>
      </c>
    </row>
    <row r="166" spans="1:58" s="146" customFormat="1" ht="42" hidden="1" customHeight="1">
      <c r="A166" s="155">
        <v>5</v>
      </c>
      <c r="B166" s="136" t="s">
        <v>318</v>
      </c>
      <c r="C166" s="99" t="s">
        <v>301</v>
      </c>
      <c r="D166" s="99"/>
      <c r="E166" s="174" t="s">
        <v>302</v>
      </c>
      <c r="F166" s="99"/>
      <c r="G166" s="99"/>
      <c r="H166" s="99" t="s">
        <v>125</v>
      </c>
      <c r="I166" s="15" t="s">
        <v>319</v>
      </c>
      <c r="J166" s="3">
        <f>K166</f>
        <v>5700</v>
      </c>
      <c r="K166" s="3">
        <v>5700</v>
      </c>
      <c r="L166" s="3"/>
      <c r="M166" s="3"/>
      <c r="N166" s="3"/>
      <c r="O166" s="3"/>
      <c r="P166" s="3">
        <v>0</v>
      </c>
      <c r="Q166" s="3">
        <f>M166+X166</f>
        <v>0</v>
      </c>
      <c r="R166" s="3">
        <v>5700</v>
      </c>
      <c r="S166" s="3">
        <v>5700</v>
      </c>
      <c r="T166" s="3"/>
      <c r="U166" s="3"/>
      <c r="V166" s="3"/>
      <c r="W166" s="3">
        <v>0</v>
      </c>
      <c r="X166" s="3"/>
      <c r="Y166" s="3"/>
      <c r="Z166" s="3"/>
      <c r="AA166" s="3"/>
      <c r="AB166" s="3"/>
      <c r="AC166" s="3"/>
      <c r="AD166" s="3"/>
      <c r="AE166" s="3">
        <f t="shared" si="175"/>
        <v>0</v>
      </c>
      <c r="AF166" s="3">
        <f t="shared" si="175"/>
        <v>0</v>
      </c>
      <c r="AG166" s="3"/>
      <c r="AH166" s="3"/>
      <c r="AI166" s="3">
        <f>AM166</f>
        <v>50</v>
      </c>
      <c r="AJ166" s="3">
        <f>AN166</f>
        <v>50</v>
      </c>
      <c r="AK166" s="3">
        <f>AO166</f>
        <v>0</v>
      </c>
      <c r="AL166" s="3">
        <f>AP166</f>
        <v>0</v>
      </c>
      <c r="AM166" s="3">
        <f>AN166</f>
        <v>50</v>
      </c>
      <c r="AN166" s="3">
        <v>50</v>
      </c>
      <c r="AO166" s="3"/>
      <c r="AP166" s="3"/>
      <c r="AQ166" s="3">
        <v>50</v>
      </c>
      <c r="AR166" s="3">
        <f>+AS166</f>
        <v>50</v>
      </c>
      <c r="AS166" s="3">
        <v>50</v>
      </c>
      <c r="AT166" s="3">
        <f>AU166</f>
        <v>5650</v>
      </c>
      <c r="AU166" s="3">
        <f>1500+4150</f>
        <v>5650</v>
      </c>
      <c r="AV166" s="3"/>
      <c r="AW166" s="3"/>
      <c r="AX166" s="3">
        <f t="shared" si="181"/>
        <v>5700</v>
      </c>
      <c r="AY166" s="3">
        <f t="shared" si="182"/>
        <v>5700</v>
      </c>
      <c r="AZ166" s="3">
        <f t="shared" si="183"/>
        <v>5700</v>
      </c>
      <c r="BA166" s="3">
        <f t="shared" si="184"/>
        <v>0</v>
      </c>
      <c r="BB166" s="3"/>
      <c r="BC166" s="3"/>
      <c r="BD166" s="3"/>
      <c r="BE166" s="145"/>
      <c r="BF166" s="146">
        <f>AU166</f>
        <v>5650</v>
      </c>
    </row>
    <row r="167" spans="1:58" s="146" customFormat="1" ht="39.200000000000003" customHeight="1">
      <c r="A167" s="72">
        <v>1</v>
      </c>
      <c r="B167" s="136" t="s">
        <v>320</v>
      </c>
      <c r="C167" s="99" t="s">
        <v>301</v>
      </c>
      <c r="D167" s="99"/>
      <c r="E167" s="174" t="s">
        <v>302</v>
      </c>
      <c r="F167" s="99"/>
      <c r="G167" s="99"/>
      <c r="H167" s="99" t="s">
        <v>100</v>
      </c>
      <c r="I167" s="15" t="s">
        <v>321</v>
      </c>
      <c r="J167" s="3">
        <f>+K167</f>
        <v>10800</v>
      </c>
      <c r="K167" s="3">
        <v>10800</v>
      </c>
      <c r="L167" s="3"/>
      <c r="M167" s="3"/>
      <c r="N167" s="3"/>
      <c r="O167" s="3"/>
      <c r="P167" s="3">
        <f>L167+W167</f>
        <v>0</v>
      </c>
      <c r="Q167" s="3">
        <f>M167+X167</f>
        <v>0</v>
      </c>
      <c r="R167" s="3">
        <f>S167</f>
        <v>10800</v>
      </c>
      <c r="S167" s="3">
        <v>10800</v>
      </c>
      <c r="T167" s="3"/>
      <c r="U167" s="3"/>
      <c r="V167" s="3"/>
      <c r="W167" s="3"/>
      <c r="X167" s="3"/>
      <c r="Y167" s="3"/>
      <c r="Z167" s="3"/>
      <c r="AA167" s="3"/>
      <c r="AB167" s="3"/>
      <c r="AC167" s="3"/>
      <c r="AD167" s="3"/>
      <c r="AE167" s="3">
        <f t="shared" si="175"/>
        <v>0</v>
      </c>
      <c r="AF167" s="3">
        <f t="shared" si="175"/>
        <v>0</v>
      </c>
      <c r="AG167" s="3"/>
      <c r="AH167" s="3"/>
      <c r="AI167" s="3">
        <f t="shared" ref="AI167:AL168" si="185">AM167</f>
        <v>50</v>
      </c>
      <c r="AJ167" s="3">
        <f t="shared" si="185"/>
        <v>50</v>
      </c>
      <c r="AK167" s="3">
        <f t="shared" si="185"/>
        <v>0</v>
      </c>
      <c r="AL167" s="3">
        <f t="shared" si="185"/>
        <v>0</v>
      </c>
      <c r="AM167" s="3">
        <f>AN167</f>
        <v>50</v>
      </c>
      <c r="AN167" s="3">
        <v>50</v>
      </c>
      <c r="AO167" s="3"/>
      <c r="AP167" s="3"/>
      <c r="AQ167" s="3">
        <v>50</v>
      </c>
      <c r="AR167" s="3">
        <f>+AS167</f>
        <v>50</v>
      </c>
      <c r="AS167" s="3">
        <v>50</v>
      </c>
      <c r="AT167" s="3">
        <f>AU167</f>
        <v>7224</v>
      </c>
      <c r="AU167" s="3">
        <f>2500+4724</f>
        <v>7224</v>
      </c>
      <c r="AV167" s="3"/>
      <c r="AW167" s="3"/>
      <c r="AX167" s="3">
        <f t="shared" si="181"/>
        <v>7274</v>
      </c>
      <c r="AY167" s="3">
        <f t="shared" si="182"/>
        <v>7274</v>
      </c>
      <c r="AZ167" s="3">
        <f t="shared" si="183"/>
        <v>7274</v>
      </c>
      <c r="BA167" s="3">
        <f t="shared" si="184"/>
        <v>3500</v>
      </c>
      <c r="BB167" s="3">
        <v>3500</v>
      </c>
      <c r="BC167" s="3"/>
      <c r="BD167" s="3"/>
      <c r="BE167" s="145" t="s">
        <v>156</v>
      </c>
      <c r="BF167" s="146">
        <f>AU167</f>
        <v>7224</v>
      </c>
    </row>
    <row r="168" spans="1:58" s="146" customFormat="1" ht="40.700000000000003" customHeight="1">
      <c r="A168" s="72">
        <v>2</v>
      </c>
      <c r="B168" s="136" t="s">
        <v>322</v>
      </c>
      <c r="C168" s="99" t="s">
        <v>301</v>
      </c>
      <c r="D168" s="99"/>
      <c r="E168" s="174" t="s">
        <v>302</v>
      </c>
      <c r="F168" s="99"/>
      <c r="G168" s="99"/>
      <c r="H168" s="99" t="s">
        <v>175</v>
      </c>
      <c r="I168" s="15" t="s">
        <v>323</v>
      </c>
      <c r="J168" s="3">
        <f>+K168</f>
        <v>12000</v>
      </c>
      <c r="K168" s="3">
        <v>12000</v>
      </c>
      <c r="L168" s="3"/>
      <c r="M168" s="3"/>
      <c r="N168" s="3"/>
      <c r="O168" s="3"/>
      <c r="P168" s="3">
        <f t="shared" ref="P168:Q169" si="186">L168+W168</f>
        <v>0</v>
      </c>
      <c r="Q168" s="3">
        <f t="shared" si="186"/>
        <v>0</v>
      </c>
      <c r="R168" s="3">
        <v>10000</v>
      </c>
      <c r="S168" s="3">
        <f>R168</f>
        <v>10000</v>
      </c>
      <c r="T168" s="3"/>
      <c r="U168" s="3"/>
      <c r="V168" s="3"/>
      <c r="W168" s="3"/>
      <c r="X168" s="3"/>
      <c r="Y168" s="3"/>
      <c r="Z168" s="3"/>
      <c r="AA168" s="3"/>
      <c r="AB168" s="3"/>
      <c r="AC168" s="3"/>
      <c r="AD168" s="3"/>
      <c r="AE168" s="3">
        <f t="shared" si="175"/>
        <v>0</v>
      </c>
      <c r="AF168" s="3">
        <f t="shared" si="175"/>
        <v>0</v>
      </c>
      <c r="AG168" s="3"/>
      <c r="AH168" s="3"/>
      <c r="AI168" s="3">
        <f t="shared" si="185"/>
        <v>50</v>
      </c>
      <c r="AJ168" s="3">
        <f t="shared" si="185"/>
        <v>50</v>
      </c>
      <c r="AK168" s="3">
        <f t="shared" si="185"/>
        <v>0</v>
      </c>
      <c r="AL168" s="3">
        <f t="shared" si="185"/>
        <v>0</v>
      </c>
      <c r="AM168" s="3">
        <f>AN168</f>
        <v>50</v>
      </c>
      <c r="AN168" s="3">
        <v>50</v>
      </c>
      <c r="AO168" s="3"/>
      <c r="AP168" s="3"/>
      <c r="AQ168" s="12">
        <v>50</v>
      </c>
      <c r="AR168" s="12">
        <f>+AS168</f>
        <v>50</v>
      </c>
      <c r="AS168" s="12">
        <v>50</v>
      </c>
      <c r="AT168" s="12">
        <f>AU168</f>
        <v>3200</v>
      </c>
      <c r="AU168" s="12">
        <v>3200</v>
      </c>
      <c r="AV168" s="12"/>
      <c r="AW168" s="12"/>
      <c r="AX168" s="3">
        <f t="shared" si="181"/>
        <v>3250</v>
      </c>
      <c r="AY168" s="3">
        <f t="shared" si="182"/>
        <v>3250</v>
      </c>
      <c r="AZ168" s="3">
        <f t="shared" si="183"/>
        <v>3250</v>
      </c>
      <c r="BA168" s="3">
        <f t="shared" si="184"/>
        <v>6750</v>
      </c>
      <c r="BB168" s="3">
        <f t="shared" ref="BB168:BB170" si="187">S168-AZ168</f>
        <v>6750</v>
      </c>
      <c r="BC168" s="3"/>
      <c r="BD168" s="3"/>
      <c r="BE168" s="145" t="s">
        <v>156</v>
      </c>
      <c r="BF168" s="57"/>
    </row>
    <row r="169" spans="1:58" s="146" customFormat="1" ht="39.200000000000003" customHeight="1">
      <c r="A169" s="155">
        <v>3</v>
      </c>
      <c r="B169" s="136" t="s">
        <v>324</v>
      </c>
      <c r="C169" s="99" t="s">
        <v>301</v>
      </c>
      <c r="D169" s="99"/>
      <c r="E169" s="174" t="s">
        <v>302</v>
      </c>
      <c r="F169" s="99"/>
      <c r="G169" s="99"/>
      <c r="H169" s="99"/>
      <c r="I169" s="15" t="s">
        <v>325</v>
      </c>
      <c r="J169" s="3">
        <f>+K169</f>
        <v>5000</v>
      </c>
      <c r="K169" s="3">
        <v>5000</v>
      </c>
      <c r="L169" s="3"/>
      <c r="M169" s="3"/>
      <c r="N169" s="3"/>
      <c r="O169" s="3"/>
      <c r="P169" s="3">
        <f t="shared" si="186"/>
        <v>0</v>
      </c>
      <c r="Q169" s="3">
        <f t="shared" si="186"/>
        <v>0</v>
      </c>
      <c r="R169" s="3">
        <v>5000</v>
      </c>
      <c r="S169" s="3">
        <v>5000</v>
      </c>
      <c r="T169" s="3"/>
      <c r="U169" s="3"/>
      <c r="V169" s="3"/>
      <c r="W169" s="3"/>
      <c r="X169" s="3"/>
      <c r="Y169" s="3"/>
      <c r="Z169" s="3"/>
      <c r="AA169" s="3"/>
      <c r="AB169" s="3"/>
      <c r="AC169" s="3"/>
      <c r="AD169" s="3"/>
      <c r="AE169" s="3">
        <f t="shared" si="175"/>
        <v>0</v>
      </c>
      <c r="AF169" s="3">
        <f t="shared" si="175"/>
        <v>0</v>
      </c>
      <c r="AG169" s="3"/>
      <c r="AH169" s="3"/>
      <c r="AI169" s="3">
        <f>AM169</f>
        <v>0</v>
      </c>
      <c r="AJ169" s="3">
        <f>AN169</f>
        <v>0</v>
      </c>
      <c r="AK169" s="3">
        <f>AO169</f>
        <v>0</v>
      </c>
      <c r="AL169" s="3">
        <f>AP169</f>
        <v>0</v>
      </c>
      <c r="AM169" s="3"/>
      <c r="AN169" s="3"/>
      <c r="AO169" s="3"/>
      <c r="AP169" s="3"/>
      <c r="AQ169" s="12"/>
      <c r="AR169" s="12"/>
      <c r="AS169" s="12"/>
      <c r="AT169" s="12">
        <f>+AU169</f>
        <v>1300</v>
      </c>
      <c r="AU169" s="12">
        <v>1300</v>
      </c>
      <c r="AV169" s="12"/>
      <c r="AW169" s="12"/>
      <c r="AX169" s="3">
        <f t="shared" si="181"/>
        <v>1300</v>
      </c>
      <c r="AY169" s="3">
        <f t="shared" si="182"/>
        <v>1300</v>
      </c>
      <c r="AZ169" s="3">
        <f t="shared" si="183"/>
        <v>1300</v>
      </c>
      <c r="BA169" s="3">
        <f t="shared" si="184"/>
        <v>3700</v>
      </c>
      <c r="BB169" s="3">
        <f t="shared" si="187"/>
        <v>3700</v>
      </c>
      <c r="BC169" s="3"/>
      <c r="BD169" s="3"/>
      <c r="BE169" s="145" t="s">
        <v>156</v>
      </c>
      <c r="BF169" s="57"/>
    </row>
    <row r="170" spans="1:58" s="146" customFormat="1" ht="39.200000000000003" customHeight="1">
      <c r="A170" s="155">
        <v>4</v>
      </c>
      <c r="B170" s="148" t="s">
        <v>326</v>
      </c>
      <c r="C170" s="99" t="s">
        <v>301</v>
      </c>
      <c r="D170" s="99"/>
      <c r="E170" s="174" t="s">
        <v>302</v>
      </c>
      <c r="F170" s="99"/>
      <c r="G170" s="99"/>
      <c r="H170" s="105" t="s">
        <v>125</v>
      </c>
      <c r="I170" s="105" t="s">
        <v>327</v>
      </c>
      <c r="J170" s="151">
        <f>K170</f>
        <v>7900</v>
      </c>
      <c r="K170" s="151">
        <v>7900</v>
      </c>
      <c r="L170" s="3"/>
      <c r="M170" s="3"/>
      <c r="N170" s="3"/>
      <c r="O170" s="3"/>
      <c r="P170" s="3"/>
      <c r="Q170" s="3"/>
      <c r="R170" s="3">
        <f>+S170</f>
        <v>7900</v>
      </c>
      <c r="S170" s="3">
        <v>7900</v>
      </c>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12"/>
      <c r="AR170" s="12"/>
      <c r="AS170" s="12"/>
      <c r="AT170" s="12">
        <f>+AU170</f>
        <v>5150</v>
      </c>
      <c r="AU170" s="12">
        <f>1650+3500</f>
        <v>5150</v>
      </c>
      <c r="AV170" s="12"/>
      <c r="AW170" s="12"/>
      <c r="AX170" s="3">
        <f t="shared" si="181"/>
        <v>5150</v>
      </c>
      <c r="AY170" s="3">
        <f t="shared" si="182"/>
        <v>5150</v>
      </c>
      <c r="AZ170" s="3">
        <f t="shared" si="183"/>
        <v>5150</v>
      </c>
      <c r="BA170" s="3">
        <f t="shared" si="184"/>
        <v>2750</v>
      </c>
      <c r="BB170" s="3">
        <f t="shared" si="187"/>
        <v>2750</v>
      </c>
      <c r="BC170" s="3"/>
      <c r="BD170" s="3"/>
      <c r="BE170" s="145" t="s">
        <v>156</v>
      </c>
      <c r="BF170" s="57">
        <f>AU170</f>
        <v>5150</v>
      </c>
    </row>
    <row r="171" spans="1:58" s="115" customFormat="1" ht="30.75" customHeight="1">
      <c r="A171" s="132" t="s">
        <v>137</v>
      </c>
      <c r="B171" s="205" t="s">
        <v>138</v>
      </c>
      <c r="C171" s="87"/>
      <c r="D171" s="87"/>
      <c r="E171" s="193"/>
      <c r="F171" s="87"/>
      <c r="G171" s="87"/>
      <c r="H171" s="118"/>
      <c r="I171" s="118"/>
      <c r="J171" s="191">
        <f>+SUM(J172:J172)</f>
        <v>14000</v>
      </c>
      <c r="K171" s="191">
        <f t="shared" ref="K171:BD171" si="188">+SUM(K172:K172)</f>
        <v>14000</v>
      </c>
      <c r="L171" s="191">
        <f t="shared" si="188"/>
        <v>0</v>
      </c>
      <c r="M171" s="191">
        <f t="shared" si="188"/>
        <v>0</v>
      </c>
      <c r="N171" s="191">
        <f t="shared" si="188"/>
        <v>0</v>
      </c>
      <c r="O171" s="191">
        <f t="shared" si="188"/>
        <v>0</v>
      </c>
      <c r="P171" s="191">
        <f t="shared" si="188"/>
        <v>0</v>
      </c>
      <c r="Q171" s="191">
        <f t="shared" si="188"/>
        <v>0</v>
      </c>
      <c r="R171" s="191">
        <f t="shared" si="188"/>
        <v>2913</v>
      </c>
      <c r="S171" s="191">
        <f t="shared" si="188"/>
        <v>2913</v>
      </c>
      <c r="T171" s="191">
        <f t="shared" si="188"/>
        <v>0</v>
      </c>
      <c r="U171" s="191">
        <f t="shared" si="188"/>
        <v>0</v>
      </c>
      <c r="V171" s="191">
        <f t="shared" si="188"/>
        <v>0</v>
      </c>
      <c r="W171" s="191">
        <f t="shared" si="188"/>
        <v>0</v>
      </c>
      <c r="X171" s="191">
        <f t="shared" si="188"/>
        <v>0</v>
      </c>
      <c r="Y171" s="191">
        <f t="shared" si="188"/>
        <v>0</v>
      </c>
      <c r="Z171" s="191">
        <f t="shared" si="188"/>
        <v>0</v>
      </c>
      <c r="AA171" s="191">
        <f t="shared" si="188"/>
        <v>0</v>
      </c>
      <c r="AB171" s="191">
        <f t="shared" si="188"/>
        <v>0</v>
      </c>
      <c r="AC171" s="191">
        <f t="shared" si="188"/>
        <v>0</v>
      </c>
      <c r="AD171" s="191">
        <f t="shared" si="188"/>
        <v>0</v>
      </c>
      <c r="AE171" s="191">
        <f t="shared" si="188"/>
        <v>0</v>
      </c>
      <c r="AF171" s="191">
        <f t="shared" si="188"/>
        <v>0</v>
      </c>
      <c r="AG171" s="191">
        <f t="shared" si="188"/>
        <v>0</v>
      </c>
      <c r="AH171" s="191">
        <f t="shared" si="188"/>
        <v>0</v>
      </c>
      <c r="AI171" s="191">
        <f t="shared" si="188"/>
        <v>0</v>
      </c>
      <c r="AJ171" s="191">
        <f t="shared" si="188"/>
        <v>0</v>
      </c>
      <c r="AK171" s="191">
        <f t="shared" si="188"/>
        <v>0</v>
      </c>
      <c r="AL171" s="191">
        <f t="shared" si="188"/>
        <v>0</v>
      </c>
      <c r="AM171" s="191">
        <f t="shared" si="188"/>
        <v>0</v>
      </c>
      <c r="AN171" s="191">
        <f t="shared" si="188"/>
        <v>0</v>
      </c>
      <c r="AO171" s="191">
        <f t="shared" si="188"/>
        <v>0</v>
      </c>
      <c r="AP171" s="191">
        <f t="shared" si="188"/>
        <v>0</v>
      </c>
      <c r="AQ171" s="191">
        <f t="shared" si="188"/>
        <v>0</v>
      </c>
      <c r="AR171" s="191">
        <f t="shared" si="188"/>
        <v>0</v>
      </c>
      <c r="AS171" s="191">
        <f t="shared" si="188"/>
        <v>0</v>
      </c>
      <c r="AT171" s="191">
        <f t="shared" si="188"/>
        <v>20</v>
      </c>
      <c r="AU171" s="191">
        <f t="shared" si="188"/>
        <v>20</v>
      </c>
      <c r="AV171" s="191">
        <f t="shared" si="188"/>
        <v>0</v>
      </c>
      <c r="AW171" s="191">
        <f t="shared" si="188"/>
        <v>0</v>
      </c>
      <c r="AX171" s="191">
        <f t="shared" si="188"/>
        <v>0</v>
      </c>
      <c r="AY171" s="191">
        <f t="shared" si="188"/>
        <v>0</v>
      </c>
      <c r="AZ171" s="191">
        <f t="shared" si="188"/>
        <v>0</v>
      </c>
      <c r="BA171" s="191">
        <f t="shared" si="188"/>
        <v>2913</v>
      </c>
      <c r="BB171" s="191">
        <f t="shared" si="188"/>
        <v>2913</v>
      </c>
      <c r="BC171" s="191">
        <f t="shared" si="188"/>
        <v>0</v>
      </c>
      <c r="BD171" s="191">
        <f t="shared" si="188"/>
        <v>0</v>
      </c>
      <c r="BE171" s="134"/>
      <c r="BF171" s="89"/>
    </row>
    <row r="172" spans="1:58" s="146" customFormat="1" ht="36.75" customHeight="1">
      <c r="A172" s="155">
        <v>1</v>
      </c>
      <c r="B172" s="158" t="s">
        <v>328</v>
      </c>
      <c r="C172" s="99"/>
      <c r="D172" s="99"/>
      <c r="E172" s="174"/>
      <c r="F172" s="99"/>
      <c r="G172" s="99"/>
      <c r="H172" s="105" t="s">
        <v>185</v>
      </c>
      <c r="I172" s="105" t="s">
        <v>329</v>
      </c>
      <c r="J172" s="151">
        <f>+K172</f>
        <v>14000</v>
      </c>
      <c r="K172" s="151">
        <v>14000</v>
      </c>
      <c r="L172" s="3"/>
      <c r="M172" s="3"/>
      <c r="N172" s="3"/>
      <c r="O172" s="3"/>
      <c r="P172" s="3"/>
      <c r="Q172" s="3"/>
      <c r="R172" s="3">
        <f>+S172</f>
        <v>2913</v>
      </c>
      <c r="S172" s="3">
        <v>2913</v>
      </c>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12"/>
      <c r="AR172" s="12"/>
      <c r="AS172" s="12"/>
      <c r="AT172" s="12">
        <f>+AU172</f>
        <v>20</v>
      </c>
      <c r="AU172" s="12">
        <v>20</v>
      </c>
      <c r="AV172" s="12"/>
      <c r="AW172" s="12"/>
      <c r="AX172" s="3"/>
      <c r="AY172" s="3"/>
      <c r="AZ172" s="3"/>
      <c r="BA172" s="3">
        <f>+BB172</f>
        <v>2913</v>
      </c>
      <c r="BB172" s="3">
        <v>2913</v>
      </c>
      <c r="BC172" s="3"/>
      <c r="BD172" s="3"/>
      <c r="BE172" s="145" t="s">
        <v>142</v>
      </c>
      <c r="BF172" s="57"/>
    </row>
    <row r="173" spans="1:58" s="89" customFormat="1" ht="22.7" customHeight="1">
      <c r="A173" s="85"/>
      <c r="B173" s="86" t="s">
        <v>90</v>
      </c>
      <c r="C173" s="87"/>
      <c r="D173" s="87"/>
      <c r="E173" s="87"/>
      <c r="F173" s="87"/>
      <c r="G173" s="87"/>
      <c r="H173" s="87"/>
      <c r="I173" s="8"/>
      <c r="J173" s="4"/>
      <c r="K173" s="4"/>
      <c r="L173" s="4"/>
      <c r="M173" s="4"/>
      <c r="N173" s="4"/>
      <c r="O173" s="4"/>
      <c r="P173" s="3"/>
      <c r="Q173" s="3"/>
      <c r="R173" s="4"/>
      <c r="S173" s="4"/>
      <c r="T173" s="4"/>
      <c r="U173" s="4"/>
      <c r="V173" s="4"/>
      <c r="W173" s="4"/>
      <c r="X173" s="4"/>
      <c r="Y173" s="4"/>
      <c r="Z173" s="4"/>
      <c r="AA173" s="4"/>
      <c r="AB173" s="4">
        <v>22480</v>
      </c>
      <c r="AC173" s="4"/>
      <c r="AD173" s="4"/>
      <c r="AE173" s="4"/>
      <c r="AF173" s="4"/>
      <c r="AG173" s="4"/>
      <c r="AH173" s="4"/>
      <c r="AI173" s="4"/>
      <c r="AJ173" s="4"/>
      <c r="AK173" s="4"/>
      <c r="AL173" s="4"/>
      <c r="AM173" s="4"/>
      <c r="AN173" s="4" t="e">
        <f>#REF!</f>
        <v>#REF!</v>
      </c>
      <c r="AO173" s="4"/>
      <c r="AP173" s="4"/>
      <c r="AQ173" s="22"/>
      <c r="AR173" s="22"/>
      <c r="AS173" s="22"/>
      <c r="AT173" s="22"/>
      <c r="AU173" s="22">
        <v>32863</v>
      </c>
      <c r="AV173" s="22"/>
      <c r="AW173" s="22"/>
      <c r="AX173" s="4"/>
      <c r="AY173" s="4"/>
      <c r="AZ173" s="4"/>
      <c r="BA173" s="4"/>
      <c r="BB173" s="4"/>
      <c r="BC173" s="4"/>
      <c r="BD173" s="4"/>
      <c r="BE173" s="75"/>
    </row>
    <row r="174" spans="1:58" s="115" customFormat="1" ht="39.200000000000003" customHeight="1">
      <c r="A174" s="126" t="s">
        <v>330</v>
      </c>
      <c r="B174" s="127" t="s">
        <v>331</v>
      </c>
      <c r="C174" s="87"/>
      <c r="D174" s="87"/>
      <c r="E174" s="87"/>
      <c r="F174" s="87"/>
      <c r="G174" s="92"/>
      <c r="H174" s="87"/>
      <c r="I174" s="8"/>
      <c r="J174" s="4">
        <f>J178</f>
        <v>103372</v>
      </c>
      <c r="K174" s="4">
        <f t="shared" ref="K174:BD174" si="189">K178</f>
        <v>67379</v>
      </c>
      <c r="L174" s="4">
        <f t="shared" si="189"/>
        <v>7500</v>
      </c>
      <c r="M174" s="4">
        <f t="shared" si="189"/>
        <v>0</v>
      </c>
      <c r="N174" s="4">
        <f t="shared" si="189"/>
        <v>3741</v>
      </c>
      <c r="O174" s="4">
        <f t="shared" si="189"/>
        <v>0</v>
      </c>
      <c r="P174" s="4">
        <f t="shared" si="189"/>
        <v>8085</v>
      </c>
      <c r="Q174" s="4">
        <f t="shared" si="189"/>
        <v>585</v>
      </c>
      <c r="R174" s="4">
        <f t="shared" si="189"/>
        <v>88275.1</v>
      </c>
      <c r="S174" s="4">
        <f t="shared" si="189"/>
        <v>60381.1</v>
      </c>
      <c r="T174" s="4">
        <f t="shared" si="189"/>
        <v>0</v>
      </c>
      <c r="U174" s="4">
        <f t="shared" si="189"/>
        <v>0</v>
      </c>
      <c r="V174" s="4">
        <f t="shared" si="189"/>
        <v>18503</v>
      </c>
      <c r="W174" s="4">
        <f t="shared" si="189"/>
        <v>585</v>
      </c>
      <c r="X174" s="4">
        <f t="shared" si="189"/>
        <v>585</v>
      </c>
      <c r="Y174" s="4">
        <f t="shared" si="189"/>
        <v>0</v>
      </c>
      <c r="Z174" s="4">
        <f t="shared" si="189"/>
        <v>0</v>
      </c>
      <c r="AA174" s="4">
        <f t="shared" si="189"/>
        <v>19072</v>
      </c>
      <c r="AB174" s="4">
        <f t="shared" si="189"/>
        <v>12072</v>
      </c>
      <c r="AC174" s="4">
        <f t="shared" si="189"/>
        <v>0</v>
      </c>
      <c r="AD174" s="4">
        <f t="shared" si="189"/>
        <v>0</v>
      </c>
      <c r="AE174" s="4">
        <f t="shared" si="189"/>
        <v>20837</v>
      </c>
      <c r="AF174" s="4">
        <f t="shared" si="189"/>
        <v>13837</v>
      </c>
      <c r="AG174" s="4">
        <f t="shared" si="189"/>
        <v>0</v>
      </c>
      <c r="AH174" s="4">
        <f t="shared" si="189"/>
        <v>0</v>
      </c>
      <c r="AI174" s="4">
        <f t="shared" si="189"/>
        <v>11219</v>
      </c>
      <c r="AJ174" s="4">
        <f t="shared" si="189"/>
        <v>11219</v>
      </c>
      <c r="AK174" s="4">
        <f t="shared" si="189"/>
        <v>1000</v>
      </c>
      <c r="AL174" s="4">
        <f t="shared" si="189"/>
        <v>0</v>
      </c>
      <c r="AM174" s="4">
        <f t="shared" si="189"/>
        <v>11219</v>
      </c>
      <c r="AN174" s="4">
        <f t="shared" si="189"/>
        <v>11219</v>
      </c>
      <c r="AO174" s="4">
        <f t="shared" si="189"/>
        <v>1000</v>
      </c>
      <c r="AP174" s="4">
        <f t="shared" si="189"/>
        <v>0</v>
      </c>
      <c r="AQ174" s="4">
        <f t="shared" si="189"/>
        <v>29722</v>
      </c>
      <c r="AR174" s="4">
        <f t="shared" si="189"/>
        <v>25056</v>
      </c>
      <c r="AS174" s="4">
        <f t="shared" si="189"/>
        <v>25056</v>
      </c>
      <c r="AT174" s="4">
        <f t="shared" si="189"/>
        <v>38393</v>
      </c>
      <c r="AU174" s="4">
        <f t="shared" si="189"/>
        <v>25081</v>
      </c>
      <c r="AV174" s="4">
        <f t="shared" si="189"/>
        <v>0</v>
      </c>
      <c r="AW174" s="4">
        <f t="shared" si="189"/>
        <v>0</v>
      </c>
      <c r="AX174" s="4">
        <f t="shared" si="189"/>
        <v>54803</v>
      </c>
      <c r="AY174" s="4">
        <f t="shared" si="189"/>
        <v>50137</v>
      </c>
      <c r="AZ174" s="4">
        <f t="shared" si="189"/>
        <v>50137</v>
      </c>
      <c r="BA174" s="4">
        <f t="shared" si="189"/>
        <v>12716</v>
      </c>
      <c r="BB174" s="4">
        <f t="shared" si="189"/>
        <v>12716</v>
      </c>
      <c r="BC174" s="4">
        <f t="shared" si="189"/>
        <v>1616</v>
      </c>
      <c r="BD174" s="4">
        <f t="shared" si="189"/>
        <v>0</v>
      </c>
      <c r="BE174" s="134"/>
      <c r="BF174" s="89"/>
    </row>
    <row r="175" spans="1:58" s="123" customFormat="1" ht="33.75" hidden="1" customHeight="1">
      <c r="A175" s="85" t="s">
        <v>92</v>
      </c>
      <c r="B175" s="91" t="s">
        <v>332</v>
      </c>
      <c r="C175" s="121"/>
      <c r="D175" s="121"/>
      <c r="E175" s="121"/>
      <c r="F175" s="121"/>
      <c r="G175" s="121"/>
      <c r="H175" s="121"/>
      <c r="I175" s="17"/>
      <c r="J175" s="18">
        <f>J176</f>
        <v>47000</v>
      </c>
      <c r="K175" s="18">
        <f t="shared" ref="K175:BD176" si="190">K176</f>
        <v>47001</v>
      </c>
      <c r="L175" s="18">
        <f t="shared" si="190"/>
        <v>47002</v>
      </c>
      <c r="M175" s="18">
        <f t="shared" si="190"/>
        <v>47003</v>
      </c>
      <c r="N175" s="18">
        <f t="shared" si="190"/>
        <v>47004</v>
      </c>
      <c r="O175" s="18">
        <f t="shared" si="190"/>
        <v>47005</v>
      </c>
      <c r="P175" s="18">
        <f t="shared" si="190"/>
        <v>47006</v>
      </c>
      <c r="Q175" s="18">
        <f t="shared" si="190"/>
        <v>47007</v>
      </c>
      <c r="R175" s="18">
        <f t="shared" si="190"/>
        <v>47008</v>
      </c>
      <c r="S175" s="18">
        <f t="shared" si="190"/>
        <v>47009</v>
      </c>
      <c r="T175" s="18">
        <f t="shared" si="190"/>
        <v>47010</v>
      </c>
      <c r="U175" s="18">
        <f t="shared" si="190"/>
        <v>47011</v>
      </c>
      <c r="V175" s="18">
        <f t="shared" si="190"/>
        <v>47012</v>
      </c>
      <c r="W175" s="18">
        <f t="shared" si="190"/>
        <v>47013</v>
      </c>
      <c r="X175" s="18">
        <f t="shared" si="190"/>
        <v>47014</v>
      </c>
      <c r="Y175" s="18">
        <f t="shared" si="190"/>
        <v>47015</v>
      </c>
      <c r="Z175" s="18">
        <f t="shared" si="190"/>
        <v>47016</v>
      </c>
      <c r="AA175" s="18">
        <f t="shared" si="190"/>
        <v>47017</v>
      </c>
      <c r="AB175" s="18">
        <f t="shared" si="190"/>
        <v>47018</v>
      </c>
      <c r="AC175" s="18">
        <f t="shared" si="190"/>
        <v>47019</v>
      </c>
      <c r="AD175" s="18">
        <f t="shared" si="190"/>
        <v>47020</v>
      </c>
      <c r="AE175" s="18">
        <f t="shared" si="190"/>
        <v>47023</v>
      </c>
      <c r="AF175" s="18">
        <f t="shared" si="190"/>
        <v>47024</v>
      </c>
      <c r="AG175" s="18">
        <f t="shared" si="190"/>
        <v>47025</v>
      </c>
      <c r="AH175" s="18">
        <f t="shared" si="190"/>
        <v>47026</v>
      </c>
      <c r="AI175" s="18">
        <f t="shared" si="190"/>
        <v>47027</v>
      </c>
      <c r="AJ175" s="18">
        <f t="shared" si="190"/>
        <v>47028</v>
      </c>
      <c r="AK175" s="18">
        <f t="shared" si="190"/>
        <v>47029</v>
      </c>
      <c r="AL175" s="18">
        <f t="shared" si="190"/>
        <v>47030</v>
      </c>
      <c r="AM175" s="18">
        <f t="shared" si="190"/>
        <v>47031</v>
      </c>
      <c r="AN175" s="18">
        <f t="shared" si="190"/>
        <v>47032</v>
      </c>
      <c r="AO175" s="18">
        <f t="shared" si="190"/>
        <v>47033</v>
      </c>
      <c r="AP175" s="18">
        <f t="shared" si="190"/>
        <v>47034</v>
      </c>
      <c r="AQ175" s="18">
        <f t="shared" si="190"/>
        <v>47035</v>
      </c>
      <c r="AR175" s="18">
        <f t="shared" si="190"/>
        <v>47036</v>
      </c>
      <c r="AS175" s="18">
        <f t="shared" si="190"/>
        <v>47037</v>
      </c>
      <c r="AT175" s="18">
        <f t="shared" si="190"/>
        <v>47038</v>
      </c>
      <c r="AU175" s="18">
        <f t="shared" si="190"/>
        <v>47039</v>
      </c>
      <c r="AV175" s="18">
        <f t="shared" si="190"/>
        <v>47040</v>
      </c>
      <c r="AW175" s="18">
        <f t="shared" si="190"/>
        <v>47041</v>
      </c>
      <c r="AX175" s="18">
        <f t="shared" si="190"/>
        <v>47042</v>
      </c>
      <c r="AY175" s="18">
        <f t="shared" si="190"/>
        <v>47043</v>
      </c>
      <c r="AZ175" s="18">
        <f t="shared" si="190"/>
        <v>47044</v>
      </c>
      <c r="BA175" s="18">
        <f t="shared" si="190"/>
        <v>47045</v>
      </c>
      <c r="BB175" s="18">
        <f t="shared" si="190"/>
        <v>47046</v>
      </c>
      <c r="BC175" s="18">
        <f t="shared" si="190"/>
        <v>47047</v>
      </c>
      <c r="BD175" s="18">
        <f t="shared" si="190"/>
        <v>47048</v>
      </c>
      <c r="BE175" s="121"/>
      <c r="BF175" s="125"/>
    </row>
    <row r="176" spans="1:58" s="123" customFormat="1" ht="27" hidden="1" customHeight="1">
      <c r="A176" s="142" t="s">
        <v>150</v>
      </c>
      <c r="B176" s="93" t="s">
        <v>265</v>
      </c>
      <c r="C176" s="121"/>
      <c r="D176" s="121"/>
      <c r="E176" s="121"/>
      <c r="F176" s="121"/>
      <c r="G176" s="121"/>
      <c r="H176" s="121"/>
      <c r="I176" s="17"/>
      <c r="J176" s="18">
        <f>J177</f>
        <v>47000</v>
      </c>
      <c r="K176" s="18">
        <f t="shared" si="190"/>
        <v>47001</v>
      </c>
      <c r="L176" s="18">
        <f t="shared" si="190"/>
        <v>47002</v>
      </c>
      <c r="M176" s="18">
        <f t="shared" si="190"/>
        <v>47003</v>
      </c>
      <c r="N176" s="18">
        <f t="shared" si="190"/>
        <v>47004</v>
      </c>
      <c r="O176" s="18">
        <f t="shared" si="190"/>
        <v>47005</v>
      </c>
      <c r="P176" s="18">
        <f t="shared" si="190"/>
        <v>47006</v>
      </c>
      <c r="Q176" s="18">
        <f t="shared" si="190"/>
        <v>47007</v>
      </c>
      <c r="R176" s="18">
        <f t="shared" si="190"/>
        <v>47008</v>
      </c>
      <c r="S176" s="18">
        <f t="shared" si="190"/>
        <v>47009</v>
      </c>
      <c r="T176" s="18">
        <f t="shared" si="190"/>
        <v>47010</v>
      </c>
      <c r="U176" s="18">
        <f t="shared" si="190"/>
        <v>47011</v>
      </c>
      <c r="V176" s="18">
        <f t="shared" si="190"/>
        <v>47012</v>
      </c>
      <c r="W176" s="18">
        <f t="shared" si="190"/>
        <v>47013</v>
      </c>
      <c r="X176" s="18">
        <f t="shared" si="190"/>
        <v>47014</v>
      </c>
      <c r="Y176" s="18">
        <f t="shared" si="190"/>
        <v>47015</v>
      </c>
      <c r="Z176" s="18">
        <f t="shared" si="190"/>
        <v>47016</v>
      </c>
      <c r="AA176" s="18">
        <f t="shared" si="190"/>
        <v>47017</v>
      </c>
      <c r="AB176" s="18">
        <f t="shared" si="190"/>
        <v>47018</v>
      </c>
      <c r="AC176" s="18">
        <f t="shared" si="190"/>
        <v>47019</v>
      </c>
      <c r="AD176" s="18">
        <f t="shared" si="190"/>
        <v>47020</v>
      </c>
      <c r="AE176" s="18">
        <f t="shared" si="190"/>
        <v>47023</v>
      </c>
      <c r="AF176" s="18">
        <f t="shared" si="190"/>
        <v>47024</v>
      </c>
      <c r="AG176" s="18">
        <f t="shared" si="190"/>
        <v>47025</v>
      </c>
      <c r="AH176" s="18">
        <f t="shared" si="190"/>
        <v>47026</v>
      </c>
      <c r="AI176" s="18">
        <f t="shared" si="190"/>
        <v>47027</v>
      </c>
      <c r="AJ176" s="18">
        <f t="shared" si="190"/>
        <v>47028</v>
      </c>
      <c r="AK176" s="18">
        <f t="shared" si="190"/>
        <v>47029</v>
      </c>
      <c r="AL176" s="18">
        <f t="shared" si="190"/>
        <v>47030</v>
      </c>
      <c r="AM176" s="18">
        <f t="shared" si="190"/>
        <v>47031</v>
      </c>
      <c r="AN176" s="18">
        <f t="shared" si="190"/>
        <v>47032</v>
      </c>
      <c r="AO176" s="18">
        <f t="shared" si="190"/>
        <v>47033</v>
      </c>
      <c r="AP176" s="18">
        <f t="shared" si="190"/>
        <v>47034</v>
      </c>
      <c r="AQ176" s="18">
        <f t="shared" si="190"/>
        <v>47035</v>
      </c>
      <c r="AR176" s="18">
        <f t="shared" si="190"/>
        <v>47036</v>
      </c>
      <c r="AS176" s="18">
        <f t="shared" si="190"/>
        <v>47037</v>
      </c>
      <c r="AT176" s="18">
        <f t="shared" si="190"/>
        <v>47038</v>
      </c>
      <c r="AU176" s="18">
        <f t="shared" si="190"/>
        <v>47039</v>
      </c>
      <c r="AV176" s="18">
        <f t="shared" si="190"/>
        <v>47040</v>
      </c>
      <c r="AW176" s="18">
        <f t="shared" si="190"/>
        <v>47041</v>
      </c>
      <c r="AX176" s="18">
        <f t="shared" si="190"/>
        <v>47042</v>
      </c>
      <c r="AY176" s="18">
        <f t="shared" si="190"/>
        <v>47043</v>
      </c>
      <c r="AZ176" s="18">
        <f t="shared" si="190"/>
        <v>47044</v>
      </c>
      <c r="BA176" s="18">
        <f t="shared" si="190"/>
        <v>47045</v>
      </c>
      <c r="BB176" s="18">
        <f t="shared" si="190"/>
        <v>47046</v>
      </c>
      <c r="BC176" s="18">
        <f t="shared" si="190"/>
        <v>47047</v>
      </c>
      <c r="BD176" s="18">
        <f t="shared" si="190"/>
        <v>47048</v>
      </c>
      <c r="BE176" s="121"/>
      <c r="BF176" s="125"/>
    </row>
    <row r="177" spans="1:58" s="146" customFormat="1" ht="63" hidden="1" customHeight="1">
      <c r="A177" s="155">
        <v>1</v>
      </c>
      <c r="B177" s="144" t="s">
        <v>333</v>
      </c>
      <c r="C177" s="99" t="s">
        <v>334</v>
      </c>
      <c r="D177" s="99"/>
      <c r="E177" s="174" t="s">
        <v>335</v>
      </c>
      <c r="F177" s="99"/>
      <c r="G177" s="99"/>
      <c r="H177" s="99" t="s">
        <v>336</v>
      </c>
      <c r="I177" s="15" t="s">
        <v>337</v>
      </c>
      <c r="J177" s="3">
        <v>47000</v>
      </c>
      <c r="K177" s="3">
        <v>47001</v>
      </c>
      <c r="L177" s="3">
        <v>47002</v>
      </c>
      <c r="M177" s="3">
        <v>47003</v>
      </c>
      <c r="N177" s="3">
        <v>47004</v>
      </c>
      <c r="O177" s="3">
        <v>47005</v>
      </c>
      <c r="P177" s="3">
        <v>47006</v>
      </c>
      <c r="Q177" s="3">
        <v>47007</v>
      </c>
      <c r="R177" s="3">
        <v>47008</v>
      </c>
      <c r="S177" s="3">
        <v>47009</v>
      </c>
      <c r="T177" s="3">
        <v>47010</v>
      </c>
      <c r="U177" s="3">
        <v>47011</v>
      </c>
      <c r="V177" s="3">
        <v>47012</v>
      </c>
      <c r="W177" s="3">
        <v>47013</v>
      </c>
      <c r="X177" s="3">
        <v>47014</v>
      </c>
      <c r="Y177" s="3">
        <v>47015</v>
      </c>
      <c r="Z177" s="3">
        <v>47016</v>
      </c>
      <c r="AA177" s="3">
        <v>47017</v>
      </c>
      <c r="AB177" s="3">
        <v>47018</v>
      </c>
      <c r="AC177" s="3">
        <v>47019</v>
      </c>
      <c r="AD177" s="3">
        <v>47020</v>
      </c>
      <c r="AE177" s="3">
        <v>47023</v>
      </c>
      <c r="AF177" s="3">
        <v>47024</v>
      </c>
      <c r="AG177" s="3">
        <v>47025</v>
      </c>
      <c r="AH177" s="3">
        <v>47026</v>
      </c>
      <c r="AI177" s="3">
        <v>47027</v>
      </c>
      <c r="AJ177" s="3">
        <v>47028</v>
      </c>
      <c r="AK177" s="3">
        <v>47029</v>
      </c>
      <c r="AL177" s="3">
        <v>47030</v>
      </c>
      <c r="AM177" s="3">
        <v>47031</v>
      </c>
      <c r="AN177" s="3">
        <v>47032</v>
      </c>
      <c r="AO177" s="3">
        <v>47033</v>
      </c>
      <c r="AP177" s="3">
        <v>47034</v>
      </c>
      <c r="AQ177" s="3">
        <v>47035</v>
      </c>
      <c r="AR177" s="3">
        <v>47036</v>
      </c>
      <c r="AS177" s="3">
        <v>47037</v>
      </c>
      <c r="AT177" s="3">
        <v>47038</v>
      </c>
      <c r="AU177" s="3">
        <v>47039</v>
      </c>
      <c r="AV177" s="3">
        <v>47040</v>
      </c>
      <c r="AW177" s="3">
        <v>47041</v>
      </c>
      <c r="AX177" s="3">
        <v>47042</v>
      </c>
      <c r="AY177" s="3">
        <v>47043</v>
      </c>
      <c r="AZ177" s="3">
        <v>47044</v>
      </c>
      <c r="BA177" s="3">
        <v>47045</v>
      </c>
      <c r="BB177" s="3">
        <v>47046</v>
      </c>
      <c r="BC177" s="3">
        <v>47047</v>
      </c>
      <c r="BD177" s="3">
        <v>47048</v>
      </c>
      <c r="BE177" s="145" t="s">
        <v>338</v>
      </c>
      <c r="BF177" s="57"/>
    </row>
    <row r="178" spans="1:58" s="115" customFormat="1" ht="33.75" customHeight="1">
      <c r="A178" s="85" t="s">
        <v>103</v>
      </c>
      <c r="B178" s="91" t="s">
        <v>160</v>
      </c>
      <c r="C178" s="87"/>
      <c r="D178" s="87"/>
      <c r="E178" s="87"/>
      <c r="F178" s="87"/>
      <c r="G178" s="87"/>
      <c r="H178" s="87"/>
      <c r="I178" s="8"/>
      <c r="J178" s="4">
        <f>J179</f>
        <v>103372</v>
      </c>
      <c r="K178" s="4">
        <f t="shared" ref="K178:BD178" si="191">K179</f>
        <v>67379</v>
      </c>
      <c r="L178" s="4">
        <f t="shared" si="191"/>
        <v>7500</v>
      </c>
      <c r="M178" s="4">
        <f t="shared" si="191"/>
        <v>0</v>
      </c>
      <c r="N178" s="4">
        <f t="shared" si="191"/>
        <v>3741</v>
      </c>
      <c r="O178" s="4">
        <f t="shared" si="191"/>
        <v>0</v>
      </c>
      <c r="P178" s="4">
        <f t="shared" si="191"/>
        <v>8085</v>
      </c>
      <c r="Q178" s="4">
        <f t="shared" si="191"/>
        <v>585</v>
      </c>
      <c r="R178" s="4">
        <f t="shared" si="191"/>
        <v>88275.1</v>
      </c>
      <c r="S178" s="4">
        <f t="shared" si="191"/>
        <v>60381.1</v>
      </c>
      <c r="T178" s="4">
        <f t="shared" si="191"/>
        <v>0</v>
      </c>
      <c r="U178" s="4">
        <f t="shared" si="191"/>
        <v>0</v>
      </c>
      <c r="V178" s="4">
        <f t="shared" si="191"/>
        <v>18503</v>
      </c>
      <c r="W178" s="4">
        <f t="shared" si="191"/>
        <v>585</v>
      </c>
      <c r="X178" s="4">
        <f t="shared" si="191"/>
        <v>585</v>
      </c>
      <c r="Y178" s="4">
        <f t="shared" si="191"/>
        <v>0</v>
      </c>
      <c r="Z178" s="4">
        <f t="shared" si="191"/>
        <v>0</v>
      </c>
      <c r="AA178" s="4">
        <f t="shared" si="191"/>
        <v>19072</v>
      </c>
      <c r="AB178" s="4">
        <f t="shared" si="191"/>
        <v>12072</v>
      </c>
      <c r="AC178" s="4">
        <f t="shared" si="191"/>
        <v>0</v>
      </c>
      <c r="AD178" s="4">
        <f t="shared" si="191"/>
        <v>0</v>
      </c>
      <c r="AE178" s="4">
        <f t="shared" si="191"/>
        <v>20837</v>
      </c>
      <c r="AF178" s="4">
        <f t="shared" si="191"/>
        <v>13837</v>
      </c>
      <c r="AG178" s="4">
        <f t="shared" si="191"/>
        <v>0</v>
      </c>
      <c r="AH178" s="4">
        <f t="shared" si="191"/>
        <v>0</v>
      </c>
      <c r="AI178" s="4">
        <f t="shared" si="191"/>
        <v>11219</v>
      </c>
      <c r="AJ178" s="4">
        <f t="shared" si="191"/>
        <v>11219</v>
      </c>
      <c r="AK178" s="4">
        <f t="shared" si="191"/>
        <v>1000</v>
      </c>
      <c r="AL178" s="4">
        <f t="shared" si="191"/>
        <v>0</v>
      </c>
      <c r="AM178" s="4">
        <f t="shared" si="191"/>
        <v>11219</v>
      </c>
      <c r="AN178" s="4">
        <f t="shared" si="191"/>
        <v>11219</v>
      </c>
      <c r="AO178" s="4">
        <f t="shared" si="191"/>
        <v>1000</v>
      </c>
      <c r="AP178" s="4">
        <f t="shared" si="191"/>
        <v>0</v>
      </c>
      <c r="AQ178" s="4">
        <f t="shared" si="191"/>
        <v>29722</v>
      </c>
      <c r="AR178" s="4">
        <f t="shared" si="191"/>
        <v>25056</v>
      </c>
      <c r="AS178" s="4">
        <f t="shared" si="191"/>
        <v>25056</v>
      </c>
      <c r="AT178" s="4">
        <f t="shared" si="191"/>
        <v>38393</v>
      </c>
      <c r="AU178" s="4">
        <f t="shared" si="191"/>
        <v>25081</v>
      </c>
      <c r="AV178" s="4">
        <f t="shared" si="191"/>
        <v>0</v>
      </c>
      <c r="AW178" s="4">
        <f t="shared" si="191"/>
        <v>0</v>
      </c>
      <c r="AX178" s="4">
        <f t="shared" si="191"/>
        <v>54803</v>
      </c>
      <c r="AY178" s="4">
        <f t="shared" si="191"/>
        <v>50137</v>
      </c>
      <c r="AZ178" s="4">
        <f t="shared" si="191"/>
        <v>50137</v>
      </c>
      <c r="BA178" s="4">
        <f t="shared" si="191"/>
        <v>12716</v>
      </c>
      <c r="BB178" s="4">
        <f t="shared" si="191"/>
        <v>12716</v>
      </c>
      <c r="BC178" s="4">
        <f t="shared" si="191"/>
        <v>1616</v>
      </c>
      <c r="BD178" s="4">
        <f t="shared" si="191"/>
        <v>0</v>
      </c>
      <c r="BE178" s="99"/>
      <c r="BF178" s="89"/>
    </row>
    <row r="179" spans="1:58" s="123" customFormat="1" ht="26.45" customHeight="1">
      <c r="A179" s="142"/>
      <c r="B179" s="93" t="s">
        <v>265</v>
      </c>
      <c r="C179" s="121"/>
      <c r="D179" s="121"/>
      <c r="E179" s="121"/>
      <c r="F179" s="121"/>
      <c r="G179" s="121"/>
      <c r="H179" s="121"/>
      <c r="I179" s="17"/>
      <c r="J179" s="18">
        <f>SUM(J180:J185)</f>
        <v>103372</v>
      </c>
      <c r="K179" s="18">
        <f t="shared" ref="K179:BD179" si="192">SUM(K180:K185)</f>
        <v>67379</v>
      </c>
      <c r="L179" s="18">
        <f t="shared" si="192"/>
        <v>7500</v>
      </c>
      <c r="M179" s="18">
        <f t="shared" si="192"/>
        <v>0</v>
      </c>
      <c r="N179" s="18">
        <f t="shared" si="192"/>
        <v>3741</v>
      </c>
      <c r="O179" s="18">
        <f t="shared" si="192"/>
        <v>0</v>
      </c>
      <c r="P179" s="18">
        <f t="shared" si="192"/>
        <v>8085</v>
      </c>
      <c r="Q179" s="18">
        <f t="shared" si="192"/>
        <v>585</v>
      </c>
      <c r="R179" s="18">
        <f t="shared" si="192"/>
        <v>88275.1</v>
      </c>
      <c r="S179" s="18">
        <f t="shared" si="192"/>
        <v>60381.1</v>
      </c>
      <c r="T179" s="18">
        <f t="shared" si="192"/>
        <v>0</v>
      </c>
      <c r="U179" s="18">
        <f t="shared" si="192"/>
        <v>0</v>
      </c>
      <c r="V179" s="18">
        <f t="shared" si="192"/>
        <v>18503</v>
      </c>
      <c r="W179" s="18">
        <f t="shared" si="192"/>
        <v>585</v>
      </c>
      <c r="X179" s="18">
        <f t="shared" si="192"/>
        <v>585</v>
      </c>
      <c r="Y179" s="18">
        <f t="shared" si="192"/>
        <v>0</v>
      </c>
      <c r="Z179" s="18">
        <f t="shared" si="192"/>
        <v>0</v>
      </c>
      <c r="AA179" s="18">
        <f t="shared" si="192"/>
        <v>19072</v>
      </c>
      <c r="AB179" s="18">
        <f t="shared" si="192"/>
        <v>12072</v>
      </c>
      <c r="AC179" s="18">
        <f t="shared" si="192"/>
        <v>0</v>
      </c>
      <c r="AD179" s="18">
        <f t="shared" si="192"/>
        <v>0</v>
      </c>
      <c r="AE179" s="18">
        <f t="shared" si="192"/>
        <v>20837</v>
      </c>
      <c r="AF179" s="18">
        <f t="shared" si="192"/>
        <v>13837</v>
      </c>
      <c r="AG179" s="18">
        <f t="shared" si="192"/>
        <v>0</v>
      </c>
      <c r="AH179" s="18">
        <f t="shared" si="192"/>
        <v>0</v>
      </c>
      <c r="AI179" s="18">
        <f t="shared" si="192"/>
        <v>11219</v>
      </c>
      <c r="AJ179" s="18">
        <f t="shared" si="192"/>
        <v>11219</v>
      </c>
      <c r="AK179" s="18">
        <f t="shared" si="192"/>
        <v>1000</v>
      </c>
      <c r="AL179" s="18">
        <f t="shared" si="192"/>
        <v>0</v>
      </c>
      <c r="AM179" s="18">
        <f t="shared" si="192"/>
        <v>11219</v>
      </c>
      <c r="AN179" s="18">
        <f t="shared" si="192"/>
        <v>11219</v>
      </c>
      <c r="AO179" s="18">
        <f t="shared" si="192"/>
        <v>1000</v>
      </c>
      <c r="AP179" s="18">
        <f t="shared" si="192"/>
        <v>0</v>
      </c>
      <c r="AQ179" s="18">
        <f t="shared" si="192"/>
        <v>29722</v>
      </c>
      <c r="AR179" s="18">
        <f t="shared" si="192"/>
        <v>25056</v>
      </c>
      <c r="AS179" s="18">
        <f t="shared" si="192"/>
        <v>25056</v>
      </c>
      <c r="AT179" s="18">
        <f t="shared" si="192"/>
        <v>38393</v>
      </c>
      <c r="AU179" s="18">
        <f t="shared" si="192"/>
        <v>25081</v>
      </c>
      <c r="AV179" s="18">
        <f t="shared" si="192"/>
        <v>0</v>
      </c>
      <c r="AW179" s="18">
        <f t="shared" si="192"/>
        <v>0</v>
      </c>
      <c r="AX179" s="18">
        <f t="shared" si="192"/>
        <v>54803</v>
      </c>
      <c r="AY179" s="18">
        <f t="shared" si="192"/>
        <v>50137</v>
      </c>
      <c r="AZ179" s="18">
        <f t="shared" si="192"/>
        <v>50137</v>
      </c>
      <c r="BA179" s="18">
        <f t="shared" si="192"/>
        <v>12716</v>
      </c>
      <c r="BB179" s="18">
        <f>SUM(BB180:BB185)</f>
        <v>12716</v>
      </c>
      <c r="BC179" s="18">
        <f t="shared" si="192"/>
        <v>1616</v>
      </c>
      <c r="BD179" s="18">
        <f t="shared" si="192"/>
        <v>0</v>
      </c>
      <c r="BE179" s="149"/>
      <c r="BF179" s="125"/>
    </row>
    <row r="180" spans="1:58" s="146" customFormat="1" ht="44.45" customHeight="1">
      <c r="A180" s="155">
        <v>1</v>
      </c>
      <c r="B180" s="188" t="s">
        <v>339</v>
      </c>
      <c r="C180" s="139" t="s">
        <v>340</v>
      </c>
      <c r="D180" s="139"/>
      <c r="E180" s="174" t="s">
        <v>335</v>
      </c>
      <c r="F180" s="139"/>
      <c r="G180" s="139" t="s">
        <v>341</v>
      </c>
      <c r="H180" s="139" t="s">
        <v>107</v>
      </c>
      <c r="I180" s="2" t="s">
        <v>342</v>
      </c>
      <c r="J180" s="3">
        <v>39992</v>
      </c>
      <c r="K180" s="26">
        <f>J180-35993</f>
        <v>3999</v>
      </c>
      <c r="L180" s="3">
        <v>7500</v>
      </c>
      <c r="M180" s="3"/>
      <c r="N180" s="26">
        <f>2808+933</f>
        <v>3741</v>
      </c>
      <c r="O180" s="26"/>
      <c r="P180" s="3">
        <f>L180+W180</f>
        <v>7500</v>
      </c>
      <c r="Q180" s="3">
        <f>M180+X180</f>
        <v>0</v>
      </c>
      <c r="R180" s="3">
        <f>27894+S180</f>
        <v>31493.1</v>
      </c>
      <c r="S180" s="3">
        <f>K180/100*90</f>
        <v>3599.1000000000004</v>
      </c>
      <c r="T180" s="3"/>
      <c r="U180" s="3"/>
      <c r="V180" s="3">
        <v>7000</v>
      </c>
      <c r="W180" s="3"/>
      <c r="X180" s="3"/>
      <c r="Y180" s="3"/>
      <c r="Z180" s="3"/>
      <c r="AA180" s="3">
        <v>7000</v>
      </c>
      <c r="AB180" s="3"/>
      <c r="AC180" s="3"/>
      <c r="AD180" s="3"/>
      <c r="AE180" s="3">
        <f>W180+AA180</f>
        <v>7000</v>
      </c>
      <c r="AF180" s="3">
        <f>X180+AB180</f>
        <v>0</v>
      </c>
      <c r="AG180" s="3"/>
      <c r="AH180" s="3"/>
      <c r="AI180" s="3">
        <f>AM180</f>
        <v>1000</v>
      </c>
      <c r="AJ180" s="3">
        <f>AN180</f>
        <v>1000</v>
      </c>
      <c r="AK180" s="3">
        <f>AO180</f>
        <v>1000</v>
      </c>
      <c r="AL180" s="3">
        <f>AP180</f>
        <v>0</v>
      </c>
      <c r="AM180" s="3">
        <v>1000</v>
      </c>
      <c r="AN180" s="3">
        <f>AM180</f>
        <v>1000</v>
      </c>
      <c r="AO180" s="3">
        <f>AN180</f>
        <v>1000</v>
      </c>
      <c r="AP180" s="3"/>
      <c r="AQ180" s="12">
        <f>V180+AN180</f>
        <v>8000</v>
      </c>
      <c r="AR180" s="12">
        <f t="shared" ref="AR180:AR183" si="193">AS180</f>
        <v>1000</v>
      </c>
      <c r="AS180" s="12">
        <f t="shared" ref="AS180:AS183" si="194">AF180+AN180</f>
        <v>1000</v>
      </c>
      <c r="AT180" s="12">
        <f>AU180+13312</f>
        <v>14312</v>
      </c>
      <c r="AU180" s="12">
        <v>1000</v>
      </c>
      <c r="AV180" s="12"/>
      <c r="AW180" s="12"/>
      <c r="AX180" s="3">
        <f t="shared" ref="AX180:AX185" si="195">AQ180+AU180</f>
        <v>9000</v>
      </c>
      <c r="AY180" s="3">
        <f t="shared" ref="AY180:AY185" si="196">AZ180</f>
        <v>2000</v>
      </c>
      <c r="AZ180" s="3">
        <f t="shared" ref="AZ180:AZ181" si="197">AS180+AU180</f>
        <v>2000</v>
      </c>
      <c r="BA180" s="3">
        <f t="shared" ref="BA180:BA185" si="198">BB180</f>
        <v>1616</v>
      </c>
      <c r="BB180" s="3">
        <v>1616</v>
      </c>
      <c r="BC180" s="3">
        <v>1616</v>
      </c>
      <c r="BD180" s="3"/>
      <c r="BE180" s="145"/>
      <c r="BF180" s="57"/>
    </row>
    <row r="181" spans="1:58" s="64" customFormat="1" ht="60" hidden="1" customHeight="1">
      <c r="A181" s="155">
        <v>2</v>
      </c>
      <c r="B181" s="169" t="s">
        <v>343</v>
      </c>
      <c r="C181" s="99" t="s">
        <v>334</v>
      </c>
      <c r="D181" s="99"/>
      <c r="E181" s="174" t="s">
        <v>335</v>
      </c>
      <c r="F181" s="99"/>
      <c r="G181" s="149"/>
      <c r="H181" s="149"/>
      <c r="I181" s="2" t="s">
        <v>344</v>
      </c>
      <c r="J181" s="3">
        <v>10000</v>
      </c>
      <c r="K181" s="3">
        <v>10000</v>
      </c>
      <c r="L181" s="3"/>
      <c r="M181" s="3"/>
      <c r="N181" s="3"/>
      <c r="O181" s="3"/>
      <c r="P181" s="3">
        <f t="shared" ref="P181:Q198" si="199">L181+W181</f>
        <v>130</v>
      </c>
      <c r="Q181" s="3">
        <f t="shared" si="199"/>
        <v>130</v>
      </c>
      <c r="R181" s="3">
        <f>S181</f>
        <v>6635</v>
      </c>
      <c r="S181" s="3">
        <v>6635</v>
      </c>
      <c r="T181" s="3"/>
      <c r="U181" s="3"/>
      <c r="V181" s="3">
        <f>1996+130</f>
        <v>2126</v>
      </c>
      <c r="W181" s="3">
        <v>130</v>
      </c>
      <c r="X181" s="3">
        <v>130</v>
      </c>
      <c r="Y181" s="3"/>
      <c r="Z181" s="3"/>
      <c r="AA181" s="3">
        <v>3000</v>
      </c>
      <c r="AB181" s="3">
        <v>3000</v>
      </c>
      <c r="AC181" s="3"/>
      <c r="AD181" s="3"/>
      <c r="AE181" s="3">
        <f>W181+AA181</f>
        <v>3130</v>
      </c>
      <c r="AF181" s="3">
        <f>X181+AB181</f>
        <v>3130</v>
      </c>
      <c r="AG181" s="3"/>
      <c r="AH181" s="3"/>
      <c r="AI181" s="3">
        <f t="shared" si="161"/>
        <v>2500</v>
      </c>
      <c r="AJ181" s="3">
        <f t="shared" si="161"/>
        <v>2500</v>
      </c>
      <c r="AK181" s="3">
        <f t="shared" si="161"/>
        <v>0</v>
      </c>
      <c r="AL181" s="3">
        <f t="shared" si="161"/>
        <v>0</v>
      </c>
      <c r="AM181" s="3">
        <f t="shared" ref="AM181:AM182" si="200">AN181</f>
        <v>2500</v>
      </c>
      <c r="AN181" s="3">
        <v>2500</v>
      </c>
      <c r="AO181" s="3"/>
      <c r="AP181" s="3"/>
      <c r="AQ181" s="12">
        <f>V181+AN181</f>
        <v>4626</v>
      </c>
      <c r="AR181" s="12">
        <f t="shared" si="193"/>
        <v>5630</v>
      </c>
      <c r="AS181" s="12">
        <f t="shared" si="194"/>
        <v>5630</v>
      </c>
      <c r="AT181" s="12">
        <f t="shared" ref="AT181:AT183" si="201">AU181</f>
        <v>2000</v>
      </c>
      <c r="AU181" s="12">
        <v>2000</v>
      </c>
      <c r="AV181" s="12"/>
      <c r="AW181" s="12"/>
      <c r="AX181" s="3">
        <f t="shared" si="195"/>
        <v>6626</v>
      </c>
      <c r="AY181" s="3">
        <f t="shared" si="196"/>
        <v>7630</v>
      </c>
      <c r="AZ181" s="3">
        <f t="shared" si="197"/>
        <v>7630</v>
      </c>
      <c r="BA181" s="3">
        <f t="shared" si="198"/>
        <v>0</v>
      </c>
      <c r="BB181" s="3"/>
      <c r="BC181" s="3"/>
      <c r="BD181" s="3"/>
      <c r="BE181" s="99" t="s">
        <v>136</v>
      </c>
      <c r="BF181" s="111"/>
    </row>
    <row r="182" spans="1:58" s="64" customFormat="1" ht="40.700000000000003" hidden="1" customHeight="1">
      <c r="A182" s="155">
        <v>3</v>
      </c>
      <c r="B182" s="169" t="s">
        <v>345</v>
      </c>
      <c r="C182" s="99" t="s">
        <v>334</v>
      </c>
      <c r="D182" s="99"/>
      <c r="E182" s="174" t="s">
        <v>335</v>
      </c>
      <c r="F182" s="99"/>
      <c r="G182" s="149"/>
      <c r="H182" s="99" t="s">
        <v>100</v>
      </c>
      <c r="I182" s="2" t="s">
        <v>346</v>
      </c>
      <c r="J182" s="3">
        <v>32330</v>
      </c>
      <c r="K182" s="3">
        <v>32330</v>
      </c>
      <c r="L182" s="3"/>
      <c r="M182" s="3"/>
      <c r="N182" s="3"/>
      <c r="O182" s="3"/>
      <c r="P182" s="3">
        <f t="shared" si="199"/>
        <v>455</v>
      </c>
      <c r="Q182" s="3">
        <f t="shared" si="199"/>
        <v>455</v>
      </c>
      <c r="R182" s="3">
        <v>29097</v>
      </c>
      <c r="S182" s="3">
        <v>29097</v>
      </c>
      <c r="T182" s="3"/>
      <c r="U182" s="3"/>
      <c r="V182" s="3">
        <f>455+8922</f>
        <v>9377</v>
      </c>
      <c r="W182" s="3">
        <v>455</v>
      </c>
      <c r="X182" s="3">
        <v>455</v>
      </c>
      <c r="Y182" s="3"/>
      <c r="Z182" s="3"/>
      <c r="AA182" s="3">
        <v>8922</v>
      </c>
      <c r="AB182" s="3">
        <v>8922</v>
      </c>
      <c r="AC182" s="3"/>
      <c r="AD182" s="3"/>
      <c r="AE182" s="3">
        <f>W182+AA182+1180</f>
        <v>10557</v>
      </c>
      <c r="AF182" s="3">
        <f>X182+AB182+1180</f>
        <v>10557</v>
      </c>
      <c r="AG182" s="3"/>
      <c r="AH182" s="3"/>
      <c r="AI182" s="3">
        <f t="shared" si="161"/>
        <v>5619</v>
      </c>
      <c r="AJ182" s="3">
        <f t="shared" si="161"/>
        <v>5619</v>
      </c>
      <c r="AK182" s="3">
        <f t="shared" si="161"/>
        <v>0</v>
      </c>
      <c r="AL182" s="3">
        <f t="shared" si="161"/>
        <v>0</v>
      </c>
      <c r="AM182" s="3">
        <f t="shared" si="200"/>
        <v>5619</v>
      </c>
      <c r="AN182" s="3">
        <v>5619</v>
      </c>
      <c r="AO182" s="3"/>
      <c r="AP182" s="3"/>
      <c r="AQ182" s="3">
        <f>V182+AN182</f>
        <v>14996</v>
      </c>
      <c r="AR182" s="3">
        <f t="shared" si="193"/>
        <v>16176</v>
      </c>
      <c r="AS182" s="3">
        <f t="shared" si="194"/>
        <v>16176</v>
      </c>
      <c r="AT182" s="3">
        <f t="shared" si="201"/>
        <v>14473</v>
      </c>
      <c r="AU182" s="3">
        <f>10913+3560</f>
        <v>14473</v>
      </c>
      <c r="AV182" s="3"/>
      <c r="AW182" s="3"/>
      <c r="AX182" s="3">
        <f t="shared" si="195"/>
        <v>29469</v>
      </c>
      <c r="AY182" s="3">
        <f t="shared" si="196"/>
        <v>30649</v>
      </c>
      <c r="AZ182" s="3">
        <f>AS182+AU182</f>
        <v>30649</v>
      </c>
      <c r="BA182" s="3">
        <f t="shared" si="198"/>
        <v>0</v>
      </c>
      <c r="BB182" s="3"/>
      <c r="BC182" s="3"/>
      <c r="BD182" s="3"/>
      <c r="BE182" s="99" t="s">
        <v>136</v>
      </c>
    </row>
    <row r="183" spans="1:58" s="146" customFormat="1" ht="37.15" customHeight="1">
      <c r="A183" s="155">
        <v>2</v>
      </c>
      <c r="B183" s="136" t="s">
        <v>347</v>
      </c>
      <c r="C183" s="99" t="s">
        <v>334</v>
      </c>
      <c r="D183" s="99"/>
      <c r="E183" s="99" t="s">
        <v>348</v>
      </c>
      <c r="F183" s="99"/>
      <c r="G183" s="99"/>
      <c r="H183" s="99" t="s">
        <v>125</v>
      </c>
      <c r="I183" s="206" t="s">
        <v>349</v>
      </c>
      <c r="J183" s="173">
        <f>K183</f>
        <v>10000</v>
      </c>
      <c r="K183" s="173">
        <v>10000</v>
      </c>
      <c r="L183" s="3"/>
      <c r="M183" s="3"/>
      <c r="N183" s="3"/>
      <c r="O183" s="3"/>
      <c r="P183" s="3">
        <f t="shared" si="199"/>
        <v>0</v>
      </c>
      <c r="Q183" s="3">
        <f t="shared" si="199"/>
        <v>0</v>
      </c>
      <c r="R183" s="3">
        <v>10000</v>
      </c>
      <c r="S183" s="3">
        <v>10000</v>
      </c>
      <c r="T183" s="3"/>
      <c r="U183" s="3"/>
      <c r="V183" s="3"/>
      <c r="W183" s="3"/>
      <c r="X183" s="3"/>
      <c r="Y183" s="3"/>
      <c r="Z183" s="3"/>
      <c r="AA183" s="3">
        <v>150</v>
      </c>
      <c r="AB183" s="3">
        <v>150</v>
      </c>
      <c r="AC183" s="3"/>
      <c r="AD183" s="3"/>
      <c r="AE183" s="3">
        <f t="shared" ref="AE183:AF185" si="202">W183+AA183</f>
        <v>150</v>
      </c>
      <c r="AF183" s="3">
        <f t="shared" si="202"/>
        <v>150</v>
      </c>
      <c r="AG183" s="3"/>
      <c r="AH183" s="3"/>
      <c r="AI183" s="3">
        <f t="shared" si="161"/>
        <v>2000</v>
      </c>
      <c r="AJ183" s="3">
        <f t="shared" si="161"/>
        <v>2000</v>
      </c>
      <c r="AK183" s="3">
        <f t="shared" si="161"/>
        <v>0</v>
      </c>
      <c r="AL183" s="3">
        <f t="shared" si="161"/>
        <v>0</v>
      </c>
      <c r="AM183" s="3">
        <f>AN183</f>
        <v>2000</v>
      </c>
      <c r="AN183" s="3">
        <v>2000</v>
      </c>
      <c r="AO183" s="3"/>
      <c r="AP183" s="3"/>
      <c r="AQ183" s="12">
        <f>V183+AN183</f>
        <v>2000</v>
      </c>
      <c r="AR183" s="12">
        <f t="shared" si="193"/>
        <v>2150</v>
      </c>
      <c r="AS183" s="12">
        <f t="shared" si="194"/>
        <v>2150</v>
      </c>
      <c r="AT183" s="12">
        <f t="shared" si="201"/>
        <v>3608</v>
      </c>
      <c r="AU183" s="12">
        <f>2000+1608</f>
        <v>3608</v>
      </c>
      <c r="AV183" s="12"/>
      <c r="AW183" s="12"/>
      <c r="AX183" s="3">
        <f t="shared" si="195"/>
        <v>5608</v>
      </c>
      <c r="AY183" s="3">
        <f t="shared" si="196"/>
        <v>5758</v>
      </c>
      <c r="AZ183" s="3">
        <f t="shared" ref="AZ183:AZ185" si="203">AS183+AU183</f>
        <v>5758</v>
      </c>
      <c r="BA183" s="3">
        <f t="shared" si="198"/>
        <v>4200</v>
      </c>
      <c r="BB183" s="3">
        <v>4200</v>
      </c>
      <c r="BC183" s="3"/>
      <c r="BD183" s="3"/>
      <c r="BE183" s="145"/>
      <c r="BF183" s="57">
        <f>AU183</f>
        <v>3608</v>
      </c>
    </row>
    <row r="184" spans="1:58" s="146" customFormat="1" ht="39.200000000000003" customHeight="1">
      <c r="A184" s="155">
        <v>3</v>
      </c>
      <c r="B184" s="207" t="s">
        <v>350</v>
      </c>
      <c r="C184" s="99" t="s">
        <v>334</v>
      </c>
      <c r="D184" s="99"/>
      <c r="E184" s="174" t="s">
        <v>286</v>
      </c>
      <c r="F184" s="99"/>
      <c r="G184" s="99"/>
      <c r="H184" s="99" t="s">
        <v>125</v>
      </c>
      <c r="I184" s="206" t="s">
        <v>351</v>
      </c>
      <c r="J184" s="12">
        <v>6000</v>
      </c>
      <c r="K184" s="12">
        <v>6000</v>
      </c>
      <c r="L184" s="3"/>
      <c r="M184" s="3"/>
      <c r="N184" s="3"/>
      <c r="O184" s="3"/>
      <c r="P184" s="3">
        <f>L184+W184</f>
        <v>0</v>
      </c>
      <c r="Q184" s="3">
        <f>M184+X184</f>
        <v>0</v>
      </c>
      <c r="R184" s="3">
        <v>6000</v>
      </c>
      <c r="S184" s="3">
        <v>6000</v>
      </c>
      <c r="T184" s="3"/>
      <c r="U184" s="3"/>
      <c r="V184" s="3"/>
      <c r="W184" s="3"/>
      <c r="X184" s="3"/>
      <c r="Y184" s="3"/>
      <c r="Z184" s="3"/>
      <c r="AA184" s="3"/>
      <c r="AB184" s="3"/>
      <c r="AC184" s="3"/>
      <c r="AD184" s="3"/>
      <c r="AE184" s="3">
        <f t="shared" si="202"/>
        <v>0</v>
      </c>
      <c r="AF184" s="3">
        <f t="shared" si="202"/>
        <v>0</v>
      </c>
      <c r="AG184" s="3"/>
      <c r="AH184" s="3"/>
      <c r="AI184" s="3">
        <f>AM184</f>
        <v>50</v>
      </c>
      <c r="AJ184" s="3">
        <f>AN184</f>
        <v>50</v>
      </c>
      <c r="AK184" s="3">
        <f>AO184</f>
        <v>0</v>
      </c>
      <c r="AL184" s="3">
        <f>AP184</f>
        <v>0</v>
      </c>
      <c r="AM184" s="3">
        <v>50</v>
      </c>
      <c r="AN184" s="3">
        <f>AM184</f>
        <v>50</v>
      </c>
      <c r="AO184" s="3"/>
      <c r="AP184" s="3"/>
      <c r="AQ184" s="12">
        <v>50</v>
      </c>
      <c r="AR184" s="12">
        <f>+AS184</f>
        <v>50</v>
      </c>
      <c r="AS184" s="12">
        <v>50</v>
      </c>
      <c r="AT184" s="12">
        <f>+AU184</f>
        <v>2000</v>
      </c>
      <c r="AU184" s="12">
        <v>2000</v>
      </c>
      <c r="AV184" s="12"/>
      <c r="AW184" s="12"/>
      <c r="AX184" s="3">
        <f t="shared" si="195"/>
        <v>2050</v>
      </c>
      <c r="AY184" s="3">
        <f t="shared" si="196"/>
        <v>2050</v>
      </c>
      <c r="AZ184" s="3">
        <f t="shared" si="203"/>
        <v>2050</v>
      </c>
      <c r="BA184" s="3">
        <f t="shared" si="198"/>
        <v>3900</v>
      </c>
      <c r="BB184" s="3">
        <v>3900</v>
      </c>
      <c r="BC184" s="3"/>
      <c r="BD184" s="3"/>
      <c r="BE184" s="145"/>
      <c r="BF184" s="57">
        <f>+AU184</f>
        <v>2000</v>
      </c>
    </row>
    <row r="185" spans="1:58" s="64" customFormat="1" ht="39.200000000000003" customHeight="1">
      <c r="A185" s="72">
        <v>4</v>
      </c>
      <c r="B185" s="207" t="s">
        <v>352</v>
      </c>
      <c r="C185" s="99" t="s">
        <v>334</v>
      </c>
      <c r="D185" s="99"/>
      <c r="E185" s="174" t="s">
        <v>335</v>
      </c>
      <c r="F185" s="99"/>
      <c r="G185" s="149"/>
      <c r="H185" s="99" t="s">
        <v>175</v>
      </c>
      <c r="I185" s="208" t="s">
        <v>353</v>
      </c>
      <c r="J185" s="3">
        <f>+K185</f>
        <v>5050</v>
      </c>
      <c r="K185" s="3">
        <v>5050</v>
      </c>
      <c r="L185" s="3"/>
      <c r="M185" s="3"/>
      <c r="N185" s="3"/>
      <c r="O185" s="3"/>
      <c r="P185" s="3">
        <f t="shared" si="199"/>
        <v>0</v>
      </c>
      <c r="Q185" s="3">
        <f t="shared" si="199"/>
        <v>0</v>
      </c>
      <c r="R185" s="16">
        <f>+S185</f>
        <v>5050</v>
      </c>
      <c r="S185" s="16">
        <v>5050</v>
      </c>
      <c r="T185" s="3"/>
      <c r="U185" s="3"/>
      <c r="V185" s="3"/>
      <c r="W185" s="3"/>
      <c r="X185" s="3"/>
      <c r="Y185" s="3"/>
      <c r="Z185" s="3"/>
      <c r="AA185" s="3"/>
      <c r="AB185" s="3"/>
      <c r="AC185" s="3"/>
      <c r="AD185" s="3"/>
      <c r="AE185" s="3">
        <f t="shared" si="202"/>
        <v>0</v>
      </c>
      <c r="AF185" s="3">
        <f t="shared" si="202"/>
        <v>0</v>
      </c>
      <c r="AG185" s="3"/>
      <c r="AH185" s="3"/>
      <c r="AI185" s="3">
        <f t="shared" si="161"/>
        <v>50</v>
      </c>
      <c r="AJ185" s="3">
        <f t="shared" si="161"/>
        <v>50</v>
      </c>
      <c r="AK185" s="3">
        <f t="shared" si="161"/>
        <v>0</v>
      </c>
      <c r="AL185" s="3">
        <f t="shared" si="161"/>
        <v>0</v>
      </c>
      <c r="AM185" s="3">
        <v>50</v>
      </c>
      <c r="AN185" s="3">
        <f>AM185</f>
        <v>50</v>
      </c>
      <c r="AO185" s="3"/>
      <c r="AP185" s="3"/>
      <c r="AQ185" s="12">
        <v>50</v>
      </c>
      <c r="AR185" s="12">
        <f>+AS185</f>
        <v>50</v>
      </c>
      <c r="AS185" s="12">
        <v>50</v>
      </c>
      <c r="AT185" s="12">
        <f>+AU185</f>
        <v>2000</v>
      </c>
      <c r="AU185" s="12">
        <v>2000</v>
      </c>
      <c r="AV185" s="12"/>
      <c r="AW185" s="12"/>
      <c r="AX185" s="3">
        <f t="shared" si="195"/>
        <v>2050</v>
      </c>
      <c r="AY185" s="3">
        <f t="shared" si="196"/>
        <v>2050</v>
      </c>
      <c r="AZ185" s="3">
        <f t="shared" si="203"/>
        <v>2050</v>
      </c>
      <c r="BA185" s="3">
        <f t="shared" si="198"/>
        <v>3000</v>
      </c>
      <c r="BB185" s="3">
        <f t="shared" ref="BB185" si="204">S185-AZ185</f>
        <v>3000</v>
      </c>
      <c r="BC185" s="3"/>
      <c r="BD185" s="3"/>
      <c r="BE185" s="145"/>
      <c r="BF185" s="111"/>
    </row>
    <row r="186" spans="1:58" s="89" customFormat="1" ht="90" hidden="1">
      <c r="A186" s="155">
        <v>11</v>
      </c>
      <c r="B186" s="136" t="s">
        <v>354</v>
      </c>
      <c r="C186" s="99" t="s">
        <v>334</v>
      </c>
      <c r="D186" s="99"/>
      <c r="E186" s="99"/>
      <c r="F186" s="99"/>
      <c r="G186" s="87"/>
      <c r="H186" s="87"/>
      <c r="I186" s="8"/>
      <c r="J186" s="3"/>
      <c r="K186" s="3"/>
      <c r="L186" s="3"/>
      <c r="M186" s="3"/>
      <c r="N186" s="3"/>
      <c r="O186" s="3"/>
      <c r="P186" s="3">
        <f t="shared" si="199"/>
        <v>0</v>
      </c>
      <c r="Q186" s="3">
        <f t="shared" si="199"/>
        <v>0</v>
      </c>
      <c r="R186" s="3">
        <v>15000</v>
      </c>
      <c r="S186" s="3">
        <v>15000</v>
      </c>
      <c r="T186" s="3"/>
      <c r="U186" s="3"/>
      <c r="V186" s="3"/>
      <c r="W186" s="3"/>
      <c r="X186" s="3"/>
      <c r="Y186" s="3"/>
      <c r="Z186" s="3"/>
      <c r="AA186" s="3"/>
      <c r="AB186" s="3"/>
      <c r="AC186" s="3"/>
      <c r="AD186" s="3"/>
      <c r="AE186" s="4">
        <f t="shared" ref="AE186:AF188" si="205">W186+AA186</f>
        <v>0</v>
      </c>
      <c r="AF186" s="4">
        <f t="shared" si="205"/>
        <v>0</v>
      </c>
      <c r="AG186" s="4"/>
      <c r="AH186" s="4"/>
      <c r="AI186" s="4">
        <f t="shared" si="161"/>
        <v>0</v>
      </c>
      <c r="AJ186" s="4">
        <f t="shared" si="161"/>
        <v>0</v>
      </c>
      <c r="AK186" s="4">
        <f t="shared" si="161"/>
        <v>0</v>
      </c>
      <c r="AL186" s="4">
        <f t="shared" si="161"/>
        <v>0</v>
      </c>
      <c r="AM186" s="3"/>
      <c r="AN186" s="3"/>
      <c r="AO186" s="3"/>
      <c r="AP186" s="3"/>
      <c r="AQ186" s="12"/>
      <c r="AR186" s="12"/>
      <c r="AS186" s="12"/>
      <c r="AT186" s="12"/>
      <c r="AU186" s="12"/>
      <c r="AV186" s="12"/>
      <c r="AW186" s="12"/>
      <c r="AX186" s="3"/>
      <c r="AY186" s="3"/>
      <c r="AZ186" s="3"/>
      <c r="BA186" s="3"/>
      <c r="BB186" s="3"/>
      <c r="BC186" s="3"/>
      <c r="BD186" s="3"/>
      <c r="BE186" s="209" t="s">
        <v>355</v>
      </c>
    </row>
    <row r="187" spans="1:58" s="89" customFormat="1" ht="14.1" hidden="1" customHeight="1">
      <c r="A187" s="72">
        <v>12</v>
      </c>
      <c r="B187" s="136" t="s">
        <v>356</v>
      </c>
      <c r="C187" s="99" t="s">
        <v>334</v>
      </c>
      <c r="D187" s="99"/>
      <c r="E187" s="99"/>
      <c r="F187" s="99"/>
      <c r="G187" s="87"/>
      <c r="H187" s="87"/>
      <c r="I187" s="8"/>
      <c r="J187" s="3"/>
      <c r="K187" s="3"/>
      <c r="L187" s="3"/>
      <c r="M187" s="3"/>
      <c r="N187" s="3"/>
      <c r="O187" s="3"/>
      <c r="P187" s="3">
        <f t="shared" si="199"/>
        <v>0</v>
      </c>
      <c r="Q187" s="3">
        <f t="shared" si="199"/>
        <v>0</v>
      </c>
      <c r="R187" s="3">
        <v>3000</v>
      </c>
      <c r="S187" s="3">
        <v>3000</v>
      </c>
      <c r="T187" s="3"/>
      <c r="U187" s="3"/>
      <c r="V187" s="3"/>
      <c r="W187" s="3"/>
      <c r="X187" s="3"/>
      <c r="Y187" s="3"/>
      <c r="Z187" s="3"/>
      <c r="AA187" s="3"/>
      <c r="AB187" s="3"/>
      <c r="AC187" s="3"/>
      <c r="AD187" s="3"/>
      <c r="AE187" s="4">
        <f t="shared" si="205"/>
        <v>0</v>
      </c>
      <c r="AF187" s="4">
        <f t="shared" si="205"/>
        <v>0</v>
      </c>
      <c r="AG187" s="4"/>
      <c r="AH187" s="4"/>
      <c r="AI187" s="4">
        <f t="shared" si="161"/>
        <v>0</v>
      </c>
      <c r="AJ187" s="4">
        <f t="shared" si="161"/>
        <v>0</v>
      </c>
      <c r="AK187" s="4">
        <f t="shared" si="161"/>
        <v>0</v>
      </c>
      <c r="AL187" s="4">
        <f t="shared" si="161"/>
        <v>0</v>
      </c>
      <c r="AM187" s="3"/>
      <c r="AN187" s="3"/>
      <c r="AO187" s="3"/>
      <c r="AP187" s="3"/>
      <c r="AQ187" s="12"/>
      <c r="AR187" s="12"/>
      <c r="AS187" s="12"/>
      <c r="AT187" s="12"/>
      <c r="AU187" s="12"/>
      <c r="AV187" s="12"/>
      <c r="AW187" s="12"/>
      <c r="AX187" s="3"/>
      <c r="AY187" s="3"/>
      <c r="AZ187" s="3"/>
      <c r="BA187" s="3"/>
      <c r="BB187" s="3"/>
      <c r="BC187" s="3"/>
      <c r="BD187" s="3"/>
      <c r="BE187" s="99"/>
    </row>
    <row r="188" spans="1:58" s="89" customFormat="1" ht="14.1" hidden="1" customHeight="1">
      <c r="A188" s="72">
        <v>14</v>
      </c>
      <c r="B188" s="136" t="s">
        <v>357</v>
      </c>
      <c r="C188" s="99" t="s">
        <v>334</v>
      </c>
      <c r="D188" s="99"/>
      <c r="E188" s="99"/>
      <c r="F188" s="99"/>
      <c r="G188" s="87"/>
      <c r="H188" s="87"/>
      <c r="I188" s="8"/>
      <c r="J188" s="3"/>
      <c r="K188" s="3"/>
      <c r="L188" s="3"/>
      <c r="M188" s="3"/>
      <c r="N188" s="3"/>
      <c r="O188" s="3"/>
      <c r="P188" s="3">
        <f t="shared" si="199"/>
        <v>0</v>
      </c>
      <c r="Q188" s="3">
        <f t="shared" si="199"/>
        <v>0</v>
      </c>
      <c r="R188" s="3">
        <v>5000</v>
      </c>
      <c r="S188" s="3">
        <v>5000</v>
      </c>
      <c r="T188" s="3"/>
      <c r="U188" s="3"/>
      <c r="V188" s="3"/>
      <c r="W188" s="3"/>
      <c r="X188" s="3"/>
      <c r="Y188" s="3"/>
      <c r="Z188" s="3"/>
      <c r="AA188" s="3"/>
      <c r="AB188" s="3"/>
      <c r="AC188" s="3"/>
      <c r="AD188" s="3"/>
      <c r="AE188" s="4">
        <f t="shared" si="205"/>
        <v>0</v>
      </c>
      <c r="AF188" s="4">
        <f t="shared" si="205"/>
        <v>0</v>
      </c>
      <c r="AG188" s="4"/>
      <c r="AH188" s="4"/>
      <c r="AI188" s="4">
        <f t="shared" si="161"/>
        <v>0</v>
      </c>
      <c r="AJ188" s="4">
        <f t="shared" si="161"/>
        <v>0</v>
      </c>
      <c r="AK188" s="4">
        <f t="shared" si="161"/>
        <v>0</v>
      </c>
      <c r="AL188" s="4">
        <f t="shared" si="161"/>
        <v>0</v>
      </c>
      <c r="AM188" s="3"/>
      <c r="AN188" s="3"/>
      <c r="AO188" s="3"/>
      <c r="AP188" s="3"/>
      <c r="AQ188" s="12"/>
      <c r="AR188" s="12"/>
      <c r="AS188" s="12"/>
      <c r="AT188" s="12"/>
      <c r="AU188" s="12"/>
      <c r="AV188" s="12"/>
      <c r="AW188" s="12"/>
      <c r="AX188" s="3"/>
      <c r="AY188" s="3"/>
      <c r="AZ188" s="3"/>
      <c r="BA188" s="3"/>
      <c r="BB188" s="3"/>
      <c r="BC188" s="3"/>
      <c r="BD188" s="3"/>
      <c r="BE188" s="99"/>
    </row>
    <row r="189" spans="1:58" s="89" customFormat="1" ht="14.1" hidden="1" customHeight="1">
      <c r="A189" s="135"/>
      <c r="B189" s="136"/>
      <c r="C189" s="137"/>
      <c r="D189" s="137"/>
      <c r="E189" s="137"/>
      <c r="F189" s="137"/>
      <c r="G189" s="87"/>
      <c r="H189" s="87"/>
      <c r="I189" s="8"/>
      <c r="J189" s="3"/>
      <c r="K189" s="3"/>
      <c r="L189" s="3"/>
      <c r="M189" s="3"/>
      <c r="N189" s="3"/>
      <c r="O189" s="3"/>
      <c r="P189" s="3"/>
      <c r="Q189" s="3"/>
      <c r="R189" s="3"/>
      <c r="S189" s="3"/>
      <c r="T189" s="3"/>
      <c r="U189" s="3"/>
      <c r="V189" s="3"/>
      <c r="W189" s="3"/>
      <c r="X189" s="3"/>
      <c r="Y189" s="3"/>
      <c r="Z189" s="3"/>
      <c r="AA189" s="3"/>
      <c r="AB189" s="3"/>
      <c r="AC189" s="3"/>
      <c r="AD189" s="3"/>
      <c r="AE189" s="4"/>
      <c r="AF189" s="4"/>
      <c r="AG189" s="4"/>
      <c r="AH189" s="4"/>
      <c r="AI189" s="4"/>
      <c r="AJ189" s="4"/>
      <c r="AK189" s="4"/>
      <c r="AL189" s="4"/>
      <c r="AM189" s="3"/>
      <c r="AN189" s="3"/>
      <c r="AO189" s="3"/>
      <c r="AP189" s="3"/>
      <c r="AQ189" s="12"/>
      <c r="AR189" s="12"/>
      <c r="AS189" s="12"/>
      <c r="AT189" s="12"/>
      <c r="AU189" s="12"/>
      <c r="AV189" s="12"/>
      <c r="AW189" s="12"/>
      <c r="AX189" s="3"/>
      <c r="AY189" s="3"/>
      <c r="AZ189" s="3"/>
      <c r="BA189" s="3"/>
      <c r="BB189" s="3"/>
      <c r="BC189" s="3"/>
      <c r="BD189" s="3"/>
      <c r="BE189" s="99"/>
    </row>
    <row r="190" spans="1:58" s="89" customFormat="1" ht="21.75" customHeight="1">
      <c r="A190" s="142"/>
      <c r="B190" s="86" t="s">
        <v>90</v>
      </c>
      <c r="C190" s="87"/>
      <c r="D190" s="87"/>
      <c r="E190" s="87"/>
      <c r="F190" s="87"/>
      <c r="G190" s="87"/>
      <c r="H190" s="87"/>
      <c r="I190" s="8"/>
      <c r="J190" s="4"/>
      <c r="K190" s="4"/>
      <c r="L190" s="4"/>
      <c r="M190" s="4"/>
      <c r="N190" s="4"/>
      <c r="O190" s="4"/>
      <c r="P190" s="3"/>
      <c r="Q190" s="3"/>
      <c r="R190" s="4"/>
      <c r="S190" s="4"/>
      <c r="T190" s="4"/>
      <c r="U190" s="4"/>
      <c r="V190" s="4"/>
      <c r="W190" s="4"/>
      <c r="X190" s="4"/>
      <c r="Y190" s="4"/>
      <c r="Z190" s="4"/>
      <c r="AA190" s="4"/>
      <c r="AB190" s="4"/>
      <c r="AC190" s="4"/>
      <c r="AD190" s="4"/>
      <c r="AE190" s="4"/>
      <c r="AF190" s="4"/>
      <c r="AG190" s="4"/>
      <c r="AH190" s="4"/>
      <c r="AI190" s="4"/>
      <c r="AJ190" s="4"/>
      <c r="AK190" s="4"/>
      <c r="AL190" s="4"/>
      <c r="AM190" s="4"/>
      <c r="AN190" s="4">
        <v>31842.165818416459</v>
      </c>
      <c r="AO190" s="4"/>
      <c r="AP190" s="4"/>
      <c r="AQ190" s="22"/>
      <c r="AR190" s="22"/>
      <c r="AS190" s="22"/>
      <c r="AT190" s="22"/>
      <c r="AU190" s="22">
        <v>37643</v>
      </c>
      <c r="AV190" s="22"/>
      <c r="AW190" s="22"/>
      <c r="AX190" s="4"/>
      <c r="AY190" s="4"/>
      <c r="AZ190" s="4"/>
      <c r="BA190" s="4"/>
      <c r="BB190" s="4"/>
      <c r="BC190" s="4"/>
      <c r="BD190" s="4"/>
      <c r="BE190" s="37"/>
    </row>
    <row r="191" spans="1:58" s="115" customFormat="1" ht="32.450000000000003" customHeight="1">
      <c r="A191" s="126" t="s">
        <v>358</v>
      </c>
      <c r="B191" s="127" t="s">
        <v>359</v>
      </c>
      <c r="C191" s="87"/>
      <c r="D191" s="87"/>
      <c r="E191" s="87"/>
      <c r="F191" s="87"/>
      <c r="G191" s="92"/>
      <c r="H191" s="87"/>
      <c r="I191" s="8"/>
      <c r="J191" s="4">
        <f>J192+J196+J199</f>
        <v>573700</v>
      </c>
      <c r="K191" s="4">
        <f t="shared" ref="K191:BD191" si="206">K192+K196+K199</f>
        <v>204400</v>
      </c>
      <c r="L191" s="4">
        <f t="shared" si="206"/>
        <v>0</v>
      </c>
      <c r="M191" s="4">
        <f t="shared" si="206"/>
        <v>0</v>
      </c>
      <c r="N191" s="4">
        <f t="shared" si="206"/>
        <v>0</v>
      </c>
      <c r="O191" s="4">
        <f t="shared" si="206"/>
        <v>0</v>
      </c>
      <c r="P191" s="4">
        <f t="shared" si="206"/>
        <v>520</v>
      </c>
      <c r="Q191" s="4">
        <f t="shared" si="206"/>
        <v>520</v>
      </c>
      <c r="R191" s="4">
        <f t="shared" si="206"/>
        <v>94282</v>
      </c>
      <c r="S191" s="4">
        <f t="shared" si="206"/>
        <v>91913</v>
      </c>
      <c r="T191" s="4">
        <f t="shared" si="206"/>
        <v>0</v>
      </c>
      <c r="U191" s="4">
        <f t="shared" si="206"/>
        <v>0</v>
      </c>
      <c r="V191" s="4">
        <f t="shared" si="206"/>
        <v>311145</v>
      </c>
      <c r="W191" s="4">
        <f t="shared" si="206"/>
        <v>520</v>
      </c>
      <c r="X191" s="4">
        <f t="shared" si="206"/>
        <v>520</v>
      </c>
      <c r="Y191" s="4">
        <f t="shared" si="206"/>
        <v>0</v>
      </c>
      <c r="Z191" s="4">
        <f t="shared" si="206"/>
        <v>0</v>
      </c>
      <c r="AA191" s="4">
        <f t="shared" si="206"/>
        <v>1145</v>
      </c>
      <c r="AB191" s="4">
        <f t="shared" si="206"/>
        <v>1145</v>
      </c>
      <c r="AC191" s="4">
        <f t="shared" si="206"/>
        <v>0</v>
      </c>
      <c r="AD191" s="4">
        <f t="shared" si="206"/>
        <v>0</v>
      </c>
      <c r="AE191" s="4">
        <f t="shared" si="206"/>
        <v>1665</v>
      </c>
      <c r="AF191" s="4">
        <f t="shared" si="206"/>
        <v>1665</v>
      </c>
      <c r="AG191" s="4">
        <f t="shared" si="206"/>
        <v>0</v>
      </c>
      <c r="AH191" s="4">
        <f t="shared" si="206"/>
        <v>0</v>
      </c>
      <c r="AI191" s="4">
        <f t="shared" si="206"/>
        <v>96353</v>
      </c>
      <c r="AJ191" s="4">
        <f t="shared" si="206"/>
        <v>96353</v>
      </c>
      <c r="AK191" s="4">
        <f t="shared" si="206"/>
        <v>0</v>
      </c>
      <c r="AL191" s="4">
        <f t="shared" si="206"/>
        <v>0</v>
      </c>
      <c r="AM191" s="4">
        <f t="shared" si="206"/>
        <v>13000</v>
      </c>
      <c r="AN191" s="4">
        <f t="shared" si="206"/>
        <v>13000</v>
      </c>
      <c r="AO191" s="4">
        <f t="shared" si="206"/>
        <v>0</v>
      </c>
      <c r="AP191" s="4">
        <f t="shared" si="206"/>
        <v>0</v>
      </c>
      <c r="AQ191" s="4">
        <f t="shared" si="206"/>
        <v>324145</v>
      </c>
      <c r="AR191" s="4">
        <f t="shared" si="206"/>
        <v>14665</v>
      </c>
      <c r="AS191" s="4">
        <f t="shared" si="206"/>
        <v>14665</v>
      </c>
      <c r="AT191" s="4">
        <f t="shared" si="206"/>
        <v>38736</v>
      </c>
      <c r="AU191" s="4">
        <f t="shared" si="206"/>
        <v>38736</v>
      </c>
      <c r="AV191" s="4">
        <f t="shared" si="206"/>
        <v>0</v>
      </c>
      <c r="AW191" s="4">
        <f t="shared" si="206"/>
        <v>0</v>
      </c>
      <c r="AX191" s="4">
        <f t="shared" si="206"/>
        <v>364881</v>
      </c>
      <c r="AY191" s="4">
        <f t="shared" si="206"/>
        <v>53401</v>
      </c>
      <c r="AZ191" s="4">
        <f t="shared" si="206"/>
        <v>53401</v>
      </c>
      <c r="BA191" s="4">
        <f t="shared" si="206"/>
        <v>38173</v>
      </c>
      <c r="BB191" s="4">
        <f t="shared" si="206"/>
        <v>38173</v>
      </c>
      <c r="BC191" s="4">
        <f t="shared" si="206"/>
        <v>0</v>
      </c>
      <c r="BD191" s="4">
        <f t="shared" si="206"/>
        <v>0</v>
      </c>
      <c r="BE191" s="134"/>
      <c r="BF191" s="89"/>
    </row>
    <row r="192" spans="1:58" s="115" customFormat="1" ht="33.6" customHeight="1">
      <c r="A192" s="85" t="s">
        <v>92</v>
      </c>
      <c r="B192" s="91" t="s">
        <v>93</v>
      </c>
      <c r="C192" s="87"/>
      <c r="D192" s="87"/>
      <c r="E192" s="87"/>
      <c r="F192" s="87"/>
      <c r="G192" s="87"/>
      <c r="H192" s="87"/>
      <c r="I192" s="8"/>
      <c r="J192" s="9">
        <f>J193</f>
        <v>442100</v>
      </c>
      <c r="K192" s="9">
        <f t="shared" ref="K192:BD192" si="207">K193</f>
        <v>72800</v>
      </c>
      <c r="L192" s="9">
        <f t="shared" si="207"/>
        <v>0</v>
      </c>
      <c r="M192" s="9">
        <f t="shared" si="207"/>
        <v>0</v>
      </c>
      <c r="N192" s="9">
        <f t="shared" si="207"/>
        <v>0</v>
      </c>
      <c r="O192" s="9">
        <f t="shared" si="207"/>
        <v>0</v>
      </c>
      <c r="P192" s="9">
        <f t="shared" si="207"/>
        <v>0</v>
      </c>
      <c r="Q192" s="9">
        <f t="shared" si="207"/>
        <v>0</v>
      </c>
      <c r="R192" s="9">
        <f t="shared" si="207"/>
        <v>36800</v>
      </c>
      <c r="S192" s="9">
        <f t="shared" si="207"/>
        <v>34431</v>
      </c>
      <c r="T192" s="9">
        <f t="shared" si="207"/>
        <v>0</v>
      </c>
      <c r="U192" s="9">
        <f t="shared" si="207"/>
        <v>0</v>
      </c>
      <c r="V192" s="9">
        <f t="shared" si="207"/>
        <v>310000</v>
      </c>
      <c r="W192" s="9">
        <f t="shared" si="207"/>
        <v>0</v>
      </c>
      <c r="X192" s="9">
        <f t="shared" si="207"/>
        <v>0</v>
      </c>
      <c r="Y192" s="9">
        <f t="shared" si="207"/>
        <v>0</v>
      </c>
      <c r="Z192" s="9">
        <f t="shared" si="207"/>
        <v>0</v>
      </c>
      <c r="AA192" s="9">
        <f t="shared" si="207"/>
        <v>0</v>
      </c>
      <c r="AB192" s="9">
        <f t="shared" si="207"/>
        <v>0</v>
      </c>
      <c r="AC192" s="9">
        <f t="shared" si="207"/>
        <v>0</v>
      </c>
      <c r="AD192" s="9">
        <f t="shared" si="207"/>
        <v>0</v>
      </c>
      <c r="AE192" s="9">
        <f t="shared" si="207"/>
        <v>0</v>
      </c>
      <c r="AF192" s="9">
        <f t="shared" si="207"/>
        <v>0</v>
      </c>
      <c r="AG192" s="9">
        <f t="shared" si="207"/>
        <v>0</v>
      </c>
      <c r="AH192" s="9">
        <f t="shared" si="207"/>
        <v>0</v>
      </c>
      <c r="AI192" s="9">
        <f t="shared" si="207"/>
        <v>84908</v>
      </c>
      <c r="AJ192" s="9">
        <f t="shared" si="207"/>
        <v>84908</v>
      </c>
      <c r="AK192" s="9">
        <f t="shared" si="207"/>
        <v>0</v>
      </c>
      <c r="AL192" s="9">
        <f t="shared" si="207"/>
        <v>0</v>
      </c>
      <c r="AM192" s="9">
        <f t="shared" si="207"/>
        <v>6000</v>
      </c>
      <c r="AN192" s="9">
        <f t="shared" si="207"/>
        <v>6000</v>
      </c>
      <c r="AO192" s="9">
        <f t="shared" si="207"/>
        <v>0</v>
      </c>
      <c r="AP192" s="9">
        <f t="shared" si="207"/>
        <v>0</v>
      </c>
      <c r="AQ192" s="9">
        <f t="shared" si="207"/>
        <v>316000</v>
      </c>
      <c r="AR192" s="9">
        <f t="shared" si="207"/>
        <v>6000</v>
      </c>
      <c r="AS192" s="9">
        <f t="shared" si="207"/>
        <v>6000</v>
      </c>
      <c r="AT192" s="9">
        <f t="shared" si="207"/>
        <v>16232</v>
      </c>
      <c r="AU192" s="9">
        <f t="shared" si="207"/>
        <v>16232</v>
      </c>
      <c r="AV192" s="9">
        <f t="shared" si="207"/>
        <v>0</v>
      </c>
      <c r="AW192" s="9">
        <f t="shared" si="207"/>
        <v>0</v>
      </c>
      <c r="AX192" s="9">
        <f t="shared" si="207"/>
        <v>334232</v>
      </c>
      <c r="AY192" s="9">
        <f t="shared" si="207"/>
        <v>22232</v>
      </c>
      <c r="AZ192" s="9">
        <f t="shared" si="207"/>
        <v>22232</v>
      </c>
      <c r="BA192" s="9">
        <f t="shared" si="207"/>
        <v>11931</v>
      </c>
      <c r="BB192" s="9">
        <f t="shared" si="207"/>
        <v>11931</v>
      </c>
      <c r="BC192" s="9">
        <f t="shared" si="207"/>
        <v>0</v>
      </c>
      <c r="BD192" s="9">
        <f t="shared" si="207"/>
        <v>0</v>
      </c>
      <c r="BE192" s="134"/>
      <c r="BF192" s="89"/>
    </row>
    <row r="193" spans="1:58" s="115" customFormat="1" ht="37.5" customHeight="1">
      <c r="A193" s="142" t="s">
        <v>150</v>
      </c>
      <c r="B193" s="93" t="s">
        <v>161</v>
      </c>
      <c r="C193" s="87"/>
      <c r="D193" s="87"/>
      <c r="E193" s="87"/>
      <c r="F193" s="87"/>
      <c r="G193" s="87"/>
      <c r="H193" s="87"/>
      <c r="I193" s="8"/>
      <c r="J193" s="9">
        <f>+J194+J195</f>
        <v>442100</v>
      </c>
      <c r="K193" s="9">
        <f t="shared" ref="K193:BD193" si="208">+K194+K195</f>
        <v>72800</v>
      </c>
      <c r="L193" s="9">
        <f t="shared" si="208"/>
        <v>0</v>
      </c>
      <c r="M193" s="9">
        <f t="shared" si="208"/>
        <v>0</v>
      </c>
      <c r="N193" s="9">
        <f t="shared" si="208"/>
        <v>0</v>
      </c>
      <c r="O193" s="9">
        <f t="shared" si="208"/>
        <v>0</v>
      </c>
      <c r="P193" s="9">
        <f t="shared" si="208"/>
        <v>0</v>
      </c>
      <c r="Q193" s="9">
        <f t="shared" si="208"/>
        <v>0</v>
      </c>
      <c r="R193" s="9">
        <f t="shared" si="208"/>
        <v>36800</v>
      </c>
      <c r="S193" s="9">
        <f t="shared" si="208"/>
        <v>34431</v>
      </c>
      <c r="T193" s="9">
        <f t="shared" si="208"/>
        <v>0</v>
      </c>
      <c r="U193" s="9">
        <f t="shared" si="208"/>
        <v>0</v>
      </c>
      <c r="V193" s="9">
        <f t="shared" si="208"/>
        <v>310000</v>
      </c>
      <c r="W193" s="9">
        <f t="shared" si="208"/>
        <v>0</v>
      </c>
      <c r="X193" s="9">
        <f t="shared" si="208"/>
        <v>0</v>
      </c>
      <c r="Y193" s="9">
        <f t="shared" si="208"/>
        <v>0</v>
      </c>
      <c r="Z193" s="9">
        <f t="shared" si="208"/>
        <v>0</v>
      </c>
      <c r="AA193" s="9">
        <f t="shared" si="208"/>
        <v>0</v>
      </c>
      <c r="AB193" s="9">
        <f t="shared" si="208"/>
        <v>0</v>
      </c>
      <c r="AC193" s="9">
        <f t="shared" si="208"/>
        <v>0</v>
      </c>
      <c r="AD193" s="9">
        <f t="shared" si="208"/>
        <v>0</v>
      </c>
      <c r="AE193" s="9">
        <f t="shared" si="208"/>
        <v>0</v>
      </c>
      <c r="AF193" s="9">
        <f t="shared" si="208"/>
        <v>0</v>
      </c>
      <c r="AG193" s="9">
        <f t="shared" si="208"/>
        <v>0</v>
      </c>
      <c r="AH193" s="9">
        <f t="shared" si="208"/>
        <v>0</v>
      </c>
      <c r="AI193" s="9">
        <f t="shared" si="208"/>
        <v>84908</v>
      </c>
      <c r="AJ193" s="9">
        <f t="shared" si="208"/>
        <v>84908</v>
      </c>
      <c r="AK193" s="9">
        <f t="shared" si="208"/>
        <v>0</v>
      </c>
      <c r="AL193" s="9">
        <f t="shared" si="208"/>
        <v>0</v>
      </c>
      <c r="AM193" s="9">
        <f t="shared" si="208"/>
        <v>6000</v>
      </c>
      <c r="AN193" s="9">
        <f t="shared" si="208"/>
        <v>6000</v>
      </c>
      <c r="AO193" s="9">
        <f t="shared" si="208"/>
        <v>0</v>
      </c>
      <c r="AP193" s="9">
        <f t="shared" si="208"/>
        <v>0</v>
      </c>
      <c r="AQ193" s="9">
        <f t="shared" si="208"/>
        <v>316000</v>
      </c>
      <c r="AR193" s="9">
        <f t="shared" si="208"/>
        <v>6000</v>
      </c>
      <c r="AS193" s="9">
        <f t="shared" si="208"/>
        <v>6000</v>
      </c>
      <c r="AT193" s="9">
        <f t="shared" si="208"/>
        <v>16232</v>
      </c>
      <c r="AU193" s="9">
        <f t="shared" si="208"/>
        <v>16232</v>
      </c>
      <c r="AV193" s="9">
        <f t="shared" si="208"/>
        <v>0</v>
      </c>
      <c r="AW193" s="9">
        <f t="shared" si="208"/>
        <v>0</v>
      </c>
      <c r="AX193" s="9">
        <f t="shared" si="208"/>
        <v>334232</v>
      </c>
      <c r="AY193" s="9">
        <f t="shared" si="208"/>
        <v>22232</v>
      </c>
      <c r="AZ193" s="9">
        <f t="shared" si="208"/>
        <v>22232</v>
      </c>
      <c r="BA193" s="9">
        <f t="shared" si="208"/>
        <v>11931</v>
      </c>
      <c r="BB193" s="9">
        <f t="shared" si="208"/>
        <v>11931</v>
      </c>
      <c r="BC193" s="9">
        <f t="shared" si="208"/>
        <v>0</v>
      </c>
      <c r="BD193" s="9">
        <f t="shared" si="208"/>
        <v>0</v>
      </c>
      <c r="BE193" s="134"/>
      <c r="BF193" s="89"/>
    </row>
    <row r="194" spans="1:58" s="146" customFormat="1" ht="37.5" customHeight="1">
      <c r="A194" s="72">
        <v>1</v>
      </c>
      <c r="B194" s="148" t="s">
        <v>360</v>
      </c>
      <c r="C194" s="99"/>
      <c r="D194" s="99"/>
      <c r="E194" s="99"/>
      <c r="F194" s="99"/>
      <c r="G194" s="99"/>
      <c r="H194" s="99"/>
      <c r="I194" s="206" t="s">
        <v>361</v>
      </c>
      <c r="J194" s="210">
        <f>+K194</f>
        <v>2800</v>
      </c>
      <c r="K194" s="210">
        <v>2800</v>
      </c>
      <c r="L194" s="3"/>
      <c r="M194" s="3"/>
      <c r="N194" s="3"/>
      <c r="O194" s="3"/>
      <c r="P194" s="3"/>
      <c r="Q194" s="3"/>
      <c r="R194" s="211">
        <v>2800</v>
      </c>
      <c r="S194" s="211">
        <v>431</v>
      </c>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12"/>
      <c r="AR194" s="12"/>
      <c r="AS194" s="12"/>
      <c r="AT194" s="12"/>
      <c r="AU194" s="12"/>
      <c r="AV194" s="12"/>
      <c r="AW194" s="12"/>
      <c r="AX194" s="3">
        <v>2000</v>
      </c>
      <c r="AY194" s="3"/>
      <c r="AZ194" s="3"/>
      <c r="BA194" s="3">
        <v>431</v>
      </c>
      <c r="BB194" s="3">
        <v>431</v>
      </c>
      <c r="BC194" s="3"/>
      <c r="BD194" s="3"/>
      <c r="BE194" s="155" t="s">
        <v>362</v>
      </c>
      <c r="BF194" s="57"/>
    </row>
    <row r="195" spans="1:58" s="115" customFormat="1" ht="44.45" customHeight="1">
      <c r="A195" s="139">
        <v>2</v>
      </c>
      <c r="B195" s="117" t="s">
        <v>363</v>
      </c>
      <c r="C195" s="212" t="s">
        <v>364</v>
      </c>
      <c r="D195" s="158"/>
      <c r="E195" s="212" t="s">
        <v>365</v>
      </c>
      <c r="F195" s="158"/>
      <c r="G195" s="116" t="s">
        <v>366</v>
      </c>
      <c r="H195" s="38" t="s">
        <v>367</v>
      </c>
      <c r="I195" s="208" t="s">
        <v>368</v>
      </c>
      <c r="J195" s="213">
        <v>439300</v>
      </c>
      <c r="K195" s="213">
        <v>70000</v>
      </c>
      <c r="L195" s="9"/>
      <c r="M195" s="9"/>
      <c r="N195" s="9"/>
      <c r="O195" s="9"/>
      <c r="P195" s="3"/>
      <c r="Q195" s="3"/>
      <c r="R195" s="3">
        <f>S195</f>
        <v>34000</v>
      </c>
      <c r="S195" s="3">
        <v>34000</v>
      </c>
      <c r="T195" s="4"/>
      <c r="U195" s="4"/>
      <c r="V195" s="3">
        <v>310000</v>
      </c>
      <c r="W195" s="9"/>
      <c r="X195" s="9"/>
      <c r="Y195" s="9"/>
      <c r="Z195" s="9"/>
      <c r="AA195" s="9"/>
      <c r="AB195" s="9"/>
      <c r="AC195" s="9"/>
      <c r="AD195" s="9"/>
      <c r="AE195" s="3"/>
      <c r="AF195" s="3"/>
      <c r="AG195" s="3"/>
      <c r="AH195" s="3"/>
      <c r="AI195" s="3">
        <v>84908</v>
      </c>
      <c r="AJ195" s="3">
        <f>AI195</f>
        <v>84908</v>
      </c>
      <c r="AK195" s="4"/>
      <c r="AL195" s="4"/>
      <c r="AM195" s="16">
        <f>AN195</f>
        <v>6000</v>
      </c>
      <c r="AN195" s="16">
        <v>6000</v>
      </c>
      <c r="AO195" s="9"/>
      <c r="AP195" s="9"/>
      <c r="AQ195" s="12">
        <f>V195+AN195</f>
        <v>316000</v>
      </c>
      <c r="AR195" s="12">
        <f t="shared" ref="AR195" si="209">AS195</f>
        <v>6000</v>
      </c>
      <c r="AS195" s="12">
        <f t="shared" ref="AS195" si="210">AF195+AN195</f>
        <v>6000</v>
      </c>
      <c r="AT195" s="12">
        <f t="shared" ref="AT195" si="211">AU195</f>
        <v>16232</v>
      </c>
      <c r="AU195" s="12">
        <f>11000+5232</f>
        <v>16232</v>
      </c>
      <c r="AV195" s="28"/>
      <c r="AW195" s="28"/>
      <c r="AX195" s="3">
        <f t="shared" ref="AX195" si="212">AQ195+AU195</f>
        <v>332232</v>
      </c>
      <c r="AY195" s="3">
        <f t="shared" ref="AY195" si="213">AZ195</f>
        <v>22232</v>
      </c>
      <c r="AZ195" s="3">
        <f t="shared" ref="AZ195" si="214">AS195+AU195</f>
        <v>22232</v>
      </c>
      <c r="BA195" s="3">
        <f t="shared" ref="BA195" si="215">BB195</f>
        <v>11500</v>
      </c>
      <c r="BB195" s="3">
        <v>11500</v>
      </c>
      <c r="BC195" s="9"/>
      <c r="BD195" s="9"/>
      <c r="BE195" s="160" t="s">
        <v>369</v>
      </c>
      <c r="BF195" s="89"/>
    </row>
    <row r="196" spans="1:58" s="115" customFormat="1" ht="33.75" customHeight="1">
      <c r="A196" s="85" t="s">
        <v>103</v>
      </c>
      <c r="B196" s="91" t="s">
        <v>160</v>
      </c>
      <c r="C196" s="214"/>
      <c r="D196" s="214"/>
      <c r="E196" s="214"/>
      <c r="F196" s="214"/>
      <c r="G196" s="214"/>
      <c r="H196" s="214"/>
      <c r="I196" s="8"/>
      <c r="J196" s="9">
        <f>J197</f>
        <v>40000</v>
      </c>
      <c r="K196" s="9">
        <f t="shared" ref="K196:BD196" si="216">K197</f>
        <v>40000</v>
      </c>
      <c r="L196" s="9">
        <f t="shared" si="216"/>
        <v>0</v>
      </c>
      <c r="M196" s="9">
        <f t="shared" si="216"/>
        <v>0</v>
      </c>
      <c r="N196" s="9">
        <f t="shared" si="216"/>
        <v>0</v>
      </c>
      <c r="O196" s="9">
        <f t="shared" si="216"/>
        <v>0</v>
      </c>
      <c r="P196" s="9">
        <f t="shared" si="216"/>
        <v>520</v>
      </c>
      <c r="Q196" s="9">
        <f t="shared" si="216"/>
        <v>520</v>
      </c>
      <c r="R196" s="9">
        <f t="shared" si="216"/>
        <v>36000</v>
      </c>
      <c r="S196" s="9">
        <f t="shared" si="216"/>
        <v>36000</v>
      </c>
      <c r="T196" s="9">
        <f t="shared" si="216"/>
        <v>0</v>
      </c>
      <c r="U196" s="9">
        <f t="shared" si="216"/>
        <v>0</v>
      </c>
      <c r="V196" s="9">
        <f t="shared" si="216"/>
        <v>1145</v>
      </c>
      <c r="W196" s="9">
        <f t="shared" si="216"/>
        <v>520</v>
      </c>
      <c r="X196" s="9">
        <f t="shared" si="216"/>
        <v>520</v>
      </c>
      <c r="Y196" s="9">
        <f t="shared" si="216"/>
        <v>0</v>
      </c>
      <c r="Z196" s="9">
        <f t="shared" si="216"/>
        <v>0</v>
      </c>
      <c r="AA196" s="9">
        <f t="shared" si="216"/>
        <v>1145</v>
      </c>
      <c r="AB196" s="9">
        <f t="shared" si="216"/>
        <v>1145</v>
      </c>
      <c r="AC196" s="9">
        <f t="shared" si="216"/>
        <v>0</v>
      </c>
      <c r="AD196" s="9">
        <f t="shared" si="216"/>
        <v>0</v>
      </c>
      <c r="AE196" s="9">
        <f t="shared" si="216"/>
        <v>1665</v>
      </c>
      <c r="AF196" s="9">
        <f t="shared" si="216"/>
        <v>1665</v>
      </c>
      <c r="AG196" s="9"/>
      <c r="AH196" s="9"/>
      <c r="AI196" s="9">
        <f t="shared" si="216"/>
        <v>11445</v>
      </c>
      <c r="AJ196" s="9">
        <f t="shared" si="216"/>
        <v>11445</v>
      </c>
      <c r="AK196" s="9">
        <f t="shared" si="216"/>
        <v>0</v>
      </c>
      <c r="AL196" s="9">
        <f t="shared" si="216"/>
        <v>0</v>
      </c>
      <c r="AM196" s="9">
        <f t="shared" si="216"/>
        <v>7000</v>
      </c>
      <c r="AN196" s="9">
        <f t="shared" si="216"/>
        <v>7000</v>
      </c>
      <c r="AO196" s="9">
        <f t="shared" si="216"/>
        <v>0</v>
      </c>
      <c r="AP196" s="9">
        <f t="shared" si="216"/>
        <v>0</v>
      </c>
      <c r="AQ196" s="28">
        <f t="shared" si="216"/>
        <v>8145</v>
      </c>
      <c r="AR196" s="28">
        <f t="shared" si="216"/>
        <v>8665</v>
      </c>
      <c r="AS196" s="28">
        <f t="shared" si="216"/>
        <v>8665</v>
      </c>
      <c r="AT196" s="28">
        <f t="shared" si="216"/>
        <v>21064</v>
      </c>
      <c r="AU196" s="28">
        <f t="shared" si="216"/>
        <v>21064</v>
      </c>
      <c r="AV196" s="28">
        <f t="shared" si="216"/>
        <v>0</v>
      </c>
      <c r="AW196" s="28">
        <f t="shared" si="216"/>
        <v>0</v>
      </c>
      <c r="AX196" s="9">
        <f t="shared" si="216"/>
        <v>29209</v>
      </c>
      <c r="AY196" s="9">
        <f t="shared" si="216"/>
        <v>29729</v>
      </c>
      <c r="AZ196" s="9">
        <f t="shared" si="216"/>
        <v>29729</v>
      </c>
      <c r="BA196" s="9">
        <f t="shared" si="216"/>
        <v>6200</v>
      </c>
      <c r="BB196" s="9">
        <f t="shared" si="216"/>
        <v>6200</v>
      </c>
      <c r="BC196" s="28">
        <f t="shared" si="216"/>
        <v>0</v>
      </c>
      <c r="BD196" s="28">
        <f t="shared" si="216"/>
        <v>0</v>
      </c>
      <c r="BE196" s="87"/>
      <c r="BF196" s="89"/>
    </row>
    <row r="197" spans="1:58" s="123" customFormat="1" ht="33.75" customHeight="1">
      <c r="A197" s="142" t="s">
        <v>150</v>
      </c>
      <c r="B197" s="93" t="s">
        <v>265</v>
      </c>
      <c r="C197" s="181"/>
      <c r="D197" s="181"/>
      <c r="E197" s="181"/>
      <c r="F197" s="181"/>
      <c r="G197" s="181"/>
      <c r="H197" s="181"/>
      <c r="I197" s="17"/>
      <c r="J197" s="25">
        <f>+J198</f>
        <v>40000</v>
      </c>
      <c r="K197" s="25">
        <f t="shared" ref="K197:BD197" si="217">+K198</f>
        <v>40000</v>
      </c>
      <c r="L197" s="25">
        <f t="shared" si="217"/>
        <v>0</v>
      </c>
      <c r="M197" s="25">
        <f t="shared" si="217"/>
        <v>0</v>
      </c>
      <c r="N197" s="25">
        <f t="shared" si="217"/>
        <v>0</v>
      </c>
      <c r="O197" s="25">
        <f t="shared" si="217"/>
        <v>0</v>
      </c>
      <c r="P197" s="25">
        <f t="shared" si="217"/>
        <v>520</v>
      </c>
      <c r="Q197" s="25">
        <f t="shared" si="217"/>
        <v>520</v>
      </c>
      <c r="R197" s="25">
        <f t="shared" si="217"/>
        <v>36000</v>
      </c>
      <c r="S197" s="25">
        <f t="shared" si="217"/>
        <v>36000</v>
      </c>
      <c r="T197" s="25">
        <f t="shared" si="217"/>
        <v>0</v>
      </c>
      <c r="U197" s="25">
        <f t="shared" si="217"/>
        <v>0</v>
      </c>
      <c r="V197" s="25">
        <f t="shared" si="217"/>
        <v>1145</v>
      </c>
      <c r="W197" s="25">
        <f t="shared" si="217"/>
        <v>520</v>
      </c>
      <c r="X197" s="25">
        <f t="shared" si="217"/>
        <v>520</v>
      </c>
      <c r="Y197" s="25">
        <f t="shared" si="217"/>
        <v>0</v>
      </c>
      <c r="Z197" s="25">
        <f t="shared" si="217"/>
        <v>0</v>
      </c>
      <c r="AA197" s="25">
        <f t="shared" si="217"/>
        <v>1145</v>
      </c>
      <c r="AB197" s="25">
        <f t="shared" si="217"/>
        <v>1145</v>
      </c>
      <c r="AC197" s="25">
        <f t="shared" si="217"/>
        <v>0</v>
      </c>
      <c r="AD197" s="25">
        <f t="shared" si="217"/>
        <v>0</v>
      </c>
      <c r="AE197" s="25">
        <f t="shared" si="217"/>
        <v>1665</v>
      </c>
      <c r="AF197" s="25">
        <f t="shared" si="217"/>
        <v>1665</v>
      </c>
      <c r="AG197" s="25">
        <f t="shared" si="217"/>
        <v>0</v>
      </c>
      <c r="AH197" s="25">
        <f t="shared" si="217"/>
        <v>0</v>
      </c>
      <c r="AI197" s="25">
        <f t="shared" si="217"/>
        <v>11445</v>
      </c>
      <c r="AJ197" s="25">
        <f t="shared" si="217"/>
        <v>11445</v>
      </c>
      <c r="AK197" s="25">
        <f t="shared" si="217"/>
        <v>0</v>
      </c>
      <c r="AL197" s="25">
        <f t="shared" si="217"/>
        <v>0</v>
      </c>
      <c r="AM197" s="25">
        <f t="shared" si="217"/>
        <v>7000</v>
      </c>
      <c r="AN197" s="25">
        <f t="shared" si="217"/>
        <v>7000</v>
      </c>
      <c r="AO197" s="25">
        <f t="shared" si="217"/>
        <v>0</v>
      </c>
      <c r="AP197" s="25">
        <f t="shared" si="217"/>
        <v>0</v>
      </c>
      <c r="AQ197" s="25">
        <f t="shared" si="217"/>
        <v>8145</v>
      </c>
      <c r="AR197" s="25">
        <f t="shared" si="217"/>
        <v>8665</v>
      </c>
      <c r="AS197" s="25">
        <f t="shared" si="217"/>
        <v>8665</v>
      </c>
      <c r="AT197" s="25">
        <f t="shared" si="217"/>
        <v>21064</v>
      </c>
      <c r="AU197" s="25">
        <f t="shared" si="217"/>
        <v>21064</v>
      </c>
      <c r="AV197" s="25">
        <f t="shared" si="217"/>
        <v>0</v>
      </c>
      <c r="AW197" s="25">
        <f t="shared" si="217"/>
        <v>0</v>
      </c>
      <c r="AX197" s="25">
        <f t="shared" si="217"/>
        <v>29209</v>
      </c>
      <c r="AY197" s="25">
        <f t="shared" si="217"/>
        <v>29729</v>
      </c>
      <c r="AZ197" s="25">
        <f t="shared" si="217"/>
        <v>29729</v>
      </c>
      <c r="BA197" s="25">
        <f t="shared" si="217"/>
        <v>6200</v>
      </c>
      <c r="BB197" s="25">
        <f t="shared" si="217"/>
        <v>6200</v>
      </c>
      <c r="BC197" s="25">
        <f t="shared" si="217"/>
        <v>0</v>
      </c>
      <c r="BD197" s="25">
        <f t="shared" si="217"/>
        <v>0</v>
      </c>
      <c r="BE197" s="121"/>
      <c r="BF197" s="125"/>
    </row>
    <row r="198" spans="1:58" s="64" customFormat="1" ht="37.5" customHeight="1">
      <c r="A198" s="72">
        <v>1</v>
      </c>
      <c r="B198" s="117" t="s">
        <v>370</v>
      </c>
      <c r="C198" s="99" t="s">
        <v>364</v>
      </c>
      <c r="D198" s="99"/>
      <c r="E198" s="174" t="s">
        <v>371</v>
      </c>
      <c r="F198" s="99"/>
      <c r="G198" s="149"/>
      <c r="H198" s="99" t="s">
        <v>100</v>
      </c>
      <c r="I198" s="2" t="s">
        <v>372</v>
      </c>
      <c r="J198" s="3">
        <v>40000</v>
      </c>
      <c r="K198" s="3">
        <v>40000</v>
      </c>
      <c r="L198" s="3"/>
      <c r="M198" s="3"/>
      <c r="N198" s="3"/>
      <c r="O198" s="3"/>
      <c r="P198" s="3">
        <f t="shared" si="199"/>
        <v>520</v>
      </c>
      <c r="Q198" s="3">
        <f t="shared" si="199"/>
        <v>520</v>
      </c>
      <c r="R198" s="3">
        <v>36000</v>
      </c>
      <c r="S198" s="3">
        <v>36000</v>
      </c>
      <c r="T198" s="3"/>
      <c r="U198" s="3"/>
      <c r="V198" s="3">
        <v>1145</v>
      </c>
      <c r="W198" s="3">
        <v>520</v>
      </c>
      <c r="X198" s="3">
        <v>520</v>
      </c>
      <c r="Y198" s="3"/>
      <c r="Z198" s="3"/>
      <c r="AA198" s="3">
        <v>1145</v>
      </c>
      <c r="AB198" s="3">
        <v>1145</v>
      </c>
      <c r="AC198" s="3"/>
      <c r="AD198" s="3"/>
      <c r="AE198" s="3">
        <f>W198+AA198</f>
        <v>1665</v>
      </c>
      <c r="AF198" s="3">
        <f>X198+AB198</f>
        <v>1665</v>
      </c>
      <c r="AG198" s="3"/>
      <c r="AH198" s="3"/>
      <c r="AI198" s="3">
        <f>AJ198</f>
        <v>11445</v>
      </c>
      <c r="AJ198" s="3">
        <f>(S198-AF198)/3</f>
        <v>11445</v>
      </c>
      <c r="AK198" s="3">
        <f t="shared" ref="AK198:AL212" si="218">AO198</f>
        <v>0</v>
      </c>
      <c r="AL198" s="3">
        <f t="shared" si="218"/>
        <v>0</v>
      </c>
      <c r="AM198" s="3">
        <f>AN198</f>
        <v>7000</v>
      </c>
      <c r="AN198" s="3">
        <v>7000</v>
      </c>
      <c r="AO198" s="3"/>
      <c r="AP198" s="23"/>
      <c r="AQ198" s="12">
        <f>V198+AN198</f>
        <v>8145</v>
      </c>
      <c r="AR198" s="12">
        <f t="shared" ref="AR198" si="219">AS198</f>
        <v>8665</v>
      </c>
      <c r="AS198" s="12">
        <f t="shared" ref="AS198" si="220">AF198+AN198</f>
        <v>8665</v>
      </c>
      <c r="AT198" s="12">
        <f t="shared" ref="AT198" si="221">AU198</f>
        <v>21064</v>
      </c>
      <c r="AU198" s="12">
        <f>17187+3877</f>
        <v>21064</v>
      </c>
      <c r="AV198" s="55"/>
      <c r="AW198" s="55"/>
      <c r="AX198" s="3">
        <f t="shared" ref="AX198" si="222">AQ198+AU198</f>
        <v>29209</v>
      </c>
      <c r="AY198" s="3">
        <f t="shared" ref="AY198" si="223">AZ198</f>
        <v>29729</v>
      </c>
      <c r="AZ198" s="3">
        <f t="shared" ref="AZ198" si="224">AS198+AU198</f>
        <v>29729</v>
      </c>
      <c r="BA198" s="3">
        <f t="shared" ref="BA198" si="225">BB198</f>
        <v>6200</v>
      </c>
      <c r="BB198" s="3">
        <v>6200</v>
      </c>
      <c r="BC198" s="23"/>
      <c r="BD198" s="23"/>
      <c r="BE198" s="72" t="s">
        <v>118</v>
      </c>
      <c r="BF198" s="111"/>
    </row>
    <row r="199" spans="1:58" s="89" customFormat="1" ht="39.200000000000003" customHeight="1">
      <c r="A199" s="179" t="s">
        <v>137</v>
      </c>
      <c r="B199" s="130" t="s">
        <v>138</v>
      </c>
      <c r="C199" s="118"/>
      <c r="D199" s="118"/>
      <c r="E199" s="215"/>
      <c r="F199" s="118"/>
      <c r="G199" s="118"/>
      <c r="H199" s="118"/>
      <c r="I199" s="21"/>
      <c r="J199" s="22">
        <f>+SUM(J200:J204)</f>
        <v>91600</v>
      </c>
      <c r="K199" s="22">
        <f t="shared" ref="K199:BD199" si="226">+SUM(K200:K204)</f>
        <v>91600</v>
      </c>
      <c r="L199" s="22">
        <f t="shared" si="226"/>
        <v>0</v>
      </c>
      <c r="M199" s="22">
        <f t="shared" si="226"/>
        <v>0</v>
      </c>
      <c r="N199" s="22">
        <f t="shared" si="226"/>
        <v>0</v>
      </c>
      <c r="O199" s="22">
        <f t="shared" si="226"/>
        <v>0</v>
      </c>
      <c r="P199" s="22">
        <f t="shared" si="226"/>
        <v>0</v>
      </c>
      <c r="Q199" s="22">
        <f t="shared" si="226"/>
        <v>0</v>
      </c>
      <c r="R199" s="22">
        <f t="shared" si="226"/>
        <v>21482</v>
      </c>
      <c r="S199" s="22">
        <f t="shared" si="226"/>
        <v>21482</v>
      </c>
      <c r="T199" s="22">
        <f t="shared" si="226"/>
        <v>0</v>
      </c>
      <c r="U199" s="22">
        <f t="shared" si="226"/>
        <v>0</v>
      </c>
      <c r="V199" s="22">
        <f t="shared" si="226"/>
        <v>0</v>
      </c>
      <c r="W199" s="22">
        <f t="shared" si="226"/>
        <v>0</v>
      </c>
      <c r="X199" s="22">
        <f t="shared" si="226"/>
        <v>0</v>
      </c>
      <c r="Y199" s="22">
        <f t="shared" si="226"/>
        <v>0</v>
      </c>
      <c r="Z199" s="22">
        <f t="shared" si="226"/>
        <v>0</v>
      </c>
      <c r="AA199" s="22">
        <f t="shared" si="226"/>
        <v>0</v>
      </c>
      <c r="AB199" s="22">
        <f t="shared" si="226"/>
        <v>0</v>
      </c>
      <c r="AC199" s="22">
        <f t="shared" si="226"/>
        <v>0</v>
      </c>
      <c r="AD199" s="22">
        <f t="shared" si="226"/>
        <v>0</v>
      </c>
      <c r="AE199" s="22">
        <f t="shared" si="226"/>
        <v>0</v>
      </c>
      <c r="AF199" s="22">
        <f t="shared" si="226"/>
        <v>0</v>
      </c>
      <c r="AG199" s="22">
        <f t="shared" si="226"/>
        <v>0</v>
      </c>
      <c r="AH199" s="22">
        <f t="shared" si="226"/>
        <v>0</v>
      </c>
      <c r="AI199" s="22">
        <f t="shared" si="226"/>
        <v>0</v>
      </c>
      <c r="AJ199" s="22">
        <f t="shared" si="226"/>
        <v>0</v>
      </c>
      <c r="AK199" s="22">
        <f t="shared" si="226"/>
        <v>0</v>
      </c>
      <c r="AL199" s="22">
        <f t="shared" si="226"/>
        <v>0</v>
      </c>
      <c r="AM199" s="22">
        <f t="shared" si="226"/>
        <v>0</v>
      </c>
      <c r="AN199" s="22">
        <f t="shared" si="226"/>
        <v>0</v>
      </c>
      <c r="AO199" s="22">
        <f t="shared" si="226"/>
        <v>0</v>
      </c>
      <c r="AP199" s="22">
        <f t="shared" si="226"/>
        <v>0</v>
      </c>
      <c r="AQ199" s="22">
        <f t="shared" si="226"/>
        <v>0</v>
      </c>
      <c r="AR199" s="22">
        <f t="shared" si="226"/>
        <v>0</v>
      </c>
      <c r="AS199" s="22">
        <f t="shared" si="226"/>
        <v>0</v>
      </c>
      <c r="AT199" s="22">
        <f t="shared" si="226"/>
        <v>1440</v>
      </c>
      <c r="AU199" s="22">
        <f t="shared" si="226"/>
        <v>1440</v>
      </c>
      <c r="AV199" s="22">
        <f t="shared" si="226"/>
        <v>0</v>
      </c>
      <c r="AW199" s="22">
        <f t="shared" si="226"/>
        <v>0</v>
      </c>
      <c r="AX199" s="22">
        <f t="shared" si="226"/>
        <v>1440</v>
      </c>
      <c r="AY199" s="22">
        <f t="shared" si="226"/>
        <v>1440</v>
      </c>
      <c r="AZ199" s="22">
        <f t="shared" si="226"/>
        <v>1440</v>
      </c>
      <c r="BA199" s="22">
        <f t="shared" si="226"/>
        <v>20042</v>
      </c>
      <c r="BB199" s="22">
        <f t="shared" si="226"/>
        <v>20042</v>
      </c>
      <c r="BC199" s="22">
        <f t="shared" si="226"/>
        <v>0</v>
      </c>
      <c r="BD199" s="22">
        <f t="shared" si="226"/>
        <v>0</v>
      </c>
      <c r="BE199" s="216"/>
    </row>
    <row r="200" spans="1:58" s="123" customFormat="1" ht="37.5" customHeight="1">
      <c r="A200" s="72">
        <v>1</v>
      </c>
      <c r="B200" s="182" t="s">
        <v>373</v>
      </c>
      <c r="C200" s="99" t="s">
        <v>374</v>
      </c>
      <c r="D200" s="121"/>
      <c r="E200" s="99" t="s">
        <v>375</v>
      </c>
      <c r="F200" s="121"/>
      <c r="G200" s="121"/>
      <c r="H200" s="99" t="s">
        <v>376</v>
      </c>
      <c r="I200" s="33" t="s">
        <v>377</v>
      </c>
      <c r="J200" s="34">
        <f>K200</f>
        <v>60000</v>
      </c>
      <c r="K200" s="34">
        <v>60000</v>
      </c>
      <c r="L200" s="18"/>
      <c r="M200" s="18"/>
      <c r="N200" s="18"/>
      <c r="O200" s="18"/>
      <c r="P200" s="18"/>
      <c r="Q200" s="18"/>
      <c r="R200" s="3">
        <f>+S200</f>
        <v>9766</v>
      </c>
      <c r="S200" s="3">
        <v>9766</v>
      </c>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12"/>
      <c r="AR200" s="12"/>
      <c r="AS200" s="12"/>
      <c r="AT200" s="12">
        <f>+AU200</f>
        <v>1440</v>
      </c>
      <c r="AU200" s="12">
        <f>500+940</f>
        <v>1440</v>
      </c>
      <c r="AV200" s="12"/>
      <c r="AW200" s="12"/>
      <c r="AX200" s="3">
        <f t="shared" ref="AX200" si="227">AQ200+AU200</f>
        <v>1440</v>
      </c>
      <c r="AY200" s="3">
        <f t="shared" ref="AY200" si="228">AZ200</f>
        <v>1440</v>
      </c>
      <c r="AZ200" s="3">
        <f t="shared" ref="AZ200" si="229">AS200+AU200</f>
        <v>1440</v>
      </c>
      <c r="BA200" s="3">
        <f t="shared" ref="BA200" si="230">BB200</f>
        <v>8326</v>
      </c>
      <c r="BB200" s="3">
        <f t="shared" ref="BB200" si="231">S200-AZ200</f>
        <v>8326</v>
      </c>
      <c r="BC200" s="3"/>
      <c r="BD200" s="3"/>
      <c r="BE200" s="99"/>
      <c r="BF200" s="125"/>
    </row>
    <row r="201" spans="1:58" s="123" customFormat="1" ht="34.5" customHeight="1">
      <c r="A201" s="72">
        <v>2</v>
      </c>
      <c r="B201" s="148" t="s">
        <v>378</v>
      </c>
      <c r="C201" s="99" t="s">
        <v>379</v>
      </c>
      <c r="D201" s="121"/>
      <c r="E201" s="99" t="s">
        <v>380</v>
      </c>
      <c r="F201" s="121"/>
      <c r="G201" s="121"/>
      <c r="H201" s="99" t="s">
        <v>185</v>
      </c>
      <c r="I201" s="33" t="s">
        <v>381</v>
      </c>
      <c r="J201" s="211">
        <v>7300</v>
      </c>
      <c r="K201" s="211">
        <v>7300</v>
      </c>
      <c r="L201" s="18"/>
      <c r="M201" s="18"/>
      <c r="N201" s="18"/>
      <c r="O201" s="18"/>
      <c r="P201" s="18"/>
      <c r="Q201" s="18"/>
      <c r="R201" s="3">
        <f>+S201</f>
        <v>3500</v>
      </c>
      <c r="S201" s="3">
        <v>3500</v>
      </c>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12"/>
      <c r="AR201" s="12"/>
      <c r="AS201" s="12"/>
      <c r="AT201" s="12"/>
      <c r="AU201" s="12"/>
      <c r="AV201" s="12"/>
      <c r="AW201" s="12"/>
      <c r="AX201" s="3"/>
      <c r="AY201" s="3"/>
      <c r="AZ201" s="3"/>
      <c r="BA201" s="3">
        <f>+BB201</f>
        <v>3500</v>
      </c>
      <c r="BB201" s="3">
        <v>3500</v>
      </c>
      <c r="BC201" s="3"/>
      <c r="BD201" s="3"/>
      <c r="BE201" s="99"/>
      <c r="BF201" s="125"/>
    </row>
    <row r="202" spans="1:58" s="123" customFormat="1" ht="34.5" customHeight="1">
      <c r="A202" s="72">
        <v>3</v>
      </c>
      <c r="B202" s="148" t="s">
        <v>382</v>
      </c>
      <c r="C202" s="99" t="s">
        <v>383</v>
      </c>
      <c r="D202" s="121"/>
      <c r="E202" s="99" t="s">
        <v>380</v>
      </c>
      <c r="F202" s="121"/>
      <c r="G202" s="121"/>
      <c r="H202" s="99" t="s">
        <v>185</v>
      </c>
      <c r="I202" s="33" t="s">
        <v>384</v>
      </c>
      <c r="J202" s="211">
        <v>7300</v>
      </c>
      <c r="K202" s="211">
        <v>7300</v>
      </c>
      <c r="L202" s="18"/>
      <c r="M202" s="18"/>
      <c r="N202" s="18"/>
      <c r="O202" s="18"/>
      <c r="P202" s="18"/>
      <c r="Q202" s="18"/>
      <c r="R202" s="3">
        <f t="shared" ref="R202:R204" si="232">+S202</f>
        <v>3500</v>
      </c>
      <c r="S202" s="3">
        <v>3500</v>
      </c>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12"/>
      <c r="AR202" s="12"/>
      <c r="AS202" s="12"/>
      <c r="AT202" s="12"/>
      <c r="AU202" s="12"/>
      <c r="AV202" s="12"/>
      <c r="AW202" s="12"/>
      <c r="AX202" s="3"/>
      <c r="AY202" s="3"/>
      <c r="AZ202" s="3"/>
      <c r="BA202" s="3">
        <f t="shared" ref="BA202:BA204" si="233">+BB202</f>
        <v>3500</v>
      </c>
      <c r="BB202" s="3">
        <v>3500</v>
      </c>
      <c r="BC202" s="3"/>
      <c r="BD202" s="3"/>
      <c r="BE202" s="99"/>
      <c r="BF202" s="125"/>
    </row>
    <row r="203" spans="1:58" s="123" customFormat="1" ht="37.5" customHeight="1">
      <c r="A203" s="72">
        <v>4</v>
      </c>
      <c r="B203" s="148" t="s">
        <v>385</v>
      </c>
      <c r="C203" s="99" t="s">
        <v>386</v>
      </c>
      <c r="D203" s="121"/>
      <c r="E203" s="99" t="s">
        <v>380</v>
      </c>
      <c r="F203" s="121"/>
      <c r="G203" s="121"/>
      <c r="H203" s="99" t="s">
        <v>185</v>
      </c>
      <c r="I203" s="33" t="s">
        <v>387</v>
      </c>
      <c r="J203" s="211">
        <f>+K203</f>
        <v>10000</v>
      </c>
      <c r="K203" s="211">
        <v>10000</v>
      </c>
      <c r="L203" s="18"/>
      <c r="M203" s="18"/>
      <c r="N203" s="18"/>
      <c r="O203" s="18"/>
      <c r="P203" s="18"/>
      <c r="Q203" s="18"/>
      <c r="R203" s="3">
        <f t="shared" si="232"/>
        <v>2216</v>
      </c>
      <c r="S203" s="3">
        <v>2216</v>
      </c>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12"/>
      <c r="AR203" s="12"/>
      <c r="AS203" s="12"/>
      <c r="AT203" s="12"/>
      <c r="AU203" s="12"/>
      <c r="AV203" s="12"/>
      <c r="AW203" s="12"/>
      <c r="AX203" s="3"/>
      <c r="AY203" s="3"/>
      <c r="AZ203" s="3"/>
      <c r="BA203" s="3">
        <f t="shared" si="233"/>
        <v>2216</v>
      </c>
      <c r="BB203" s="3">
        <v>2216</v>
      </c>
      <c r="BC203" s="3"/>
      <c r="BD203" s="3"/>
      <c r="BE203" s="99"/>
      <c r="BF203" s="125"/>
    </row>
    <row r="204" spans="1:58" s="146" customFormat="1" ht="37.5" customHeight="1">
      <c r="A204" s="72">
        <v>5</v>
      </c>
      <c r="B204" s="148" t="s">
        <v>388</v>
      </c>
      <c r="C204" s="99" t="s">
        <v>389</v>
      </c>
      <c r="D204" s="99"/>
      <c r="E204" s="99" t="s">
        <v>380</v>
      </c>
      <c r="F204" s="99"/>
      <c r="G204" s="99"/>
      <c r="H204" s="99" t="s">
        <v>185</v>
      </c>
      <c r="I204" s="33" t="s">
        <v>390</v>
      </c>
      <c r="J204" s="211">
        <f>+K204</f>
        <v>7000</v>
      </c>
      <c r="K204" s="211">
        <v>7000</v>
      </c>
      <c r="L204" s="3"/>
      <c r="M204" s="3"/>
      <c r="N204" s="3"/>
      <c r="O204" s="3"/>
      <c r="P204" s="3"/>
      <c r="Q204" s="3"/>
      <c r="R204" s="3">
        <f t="shared" si="232"/>
        <v>2500</v>
      </c>
      <c r="S204" s="3">
        <v>2500</v>
      </c>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12"/>
      <c r="AR204" s="12"/>
      <c r="AS204" s="12"/>
      <c r="AT204" s="12"/>
      <c r="AU204" s="12"/>
      <c r="AV204" s="12"/>
      <c r="AW204" s="12"/>
      <c r="AX204" s="3"/>
      <c r="AY204" s="3"/>
      <c r="AZ204" s="3"/>
      <c r="BA204" s="3">
        <f t="shared" si="233"/>
        <v>2500</v>
      </c>
      <c r="BB204" s="3">
        <v>2500</v>
      </c>
      <c r="BC204" s="3"/>
      <c r="BD204" s="3"/>
      <c r="BE204" s="99"/>
      <c r="BF204" s="57"/>
    </row>
    <row r="205" spans="1:58" s="89" customFormat="1" ht="28.5" customHeight="1">
      <c r="A205" s="142"/>
      <c r="B205" s="86" t="s">
        <v>90</v>
      </c>
      <c r="C205" s="87"/>
      <c r="D205" s="87"/>
      <c r="E205" s="87"/>
      <c r="F205" s="87"/>
      <c r="G205" s="87"/>
      <c r="H205" s="87"/>
      <c r="I205" s="8"/>
      <c r="J205" s="4"/>
      <c r="K205" s="4"/>
      <c r="L205" s="4"/>
      <c r="M205" s="4"/>
      <c r="N205" s="4"/>
      <c r="O205" s="4"/>
      <c r="P205" s="3"/>
      <c r="Q205" s="3"/>
      <c r="R205" s="4"/>
      <c r="S205" s="4"/>
      <c r="T205" s="4"/>
      <c r="U205" s="4"/>
      <c r="V205" s="4"/>
      <c r="W205" s="4"/>
      <c r="X205" s="4"/>
      <c r="Y205" s="4"/>
      <c r="Z205" s="4"/>
      <c r="AA205" s="4"/>
      <c r="AB205" s="4"/>
      <c r="AC205" s="4"/>
      <c r="AD205" s="4"/>
      <c r="AE205" s="4"/>
      <c r="AF205" s="4"/>
      <c r="AG205" s="4"/>
      <c r="AH205" s="4"/>
      <c r="AI205" s="4"/>
      <c r="AJ205" s="4"/>
      <c r="AK205" s="4"/>
      <c r="AL205" s="4"/>
      <c r="AM205" s="4"/>
      <c r="AN205" s="4">
        <v>5022.4620877509369</v>
      </c>
      <c r="AO205" s="4"/>
      <c r="AP205" s="4"/>
      <c r="AQ205" s="22"/>
      <c r="AR205" s="22"/>
      <c r="AS205" s="22"/>
      <c r="AT205" s="22"/>
      <c r="AU205" s="22">
        <v>5212</v>
      </c>
      <c r="AV205" s="22"/>
      <c r="AW205" s="22"/>
      <c r="AX205" s="4"/>
      <c r="AY205" s="4"/>
      <c r="AZ205" s="4"/>
      <c r="BA205" s="4"/>
      <c r="BB205" s="4"/>
      <c r="BC205" s="4"/>
      <c r="BD205" s="4"/>
      <c r="BE205" s="75"/>
    </row>
    <row r="206" spans="1:58" s="115" customFormat="1" ht="31.7" customHeight="1">
      <c r="A206" s="132" t="s">
        <v>391</v>
      </c>
      <c r="B206" s="127" t="s">
        <v>392</v>
      </c>
      <c r="C206" s="87"/>
      <c r="D206" s="87"/>
      <c r="E206" s="87"/>
      <c r="F206" s="87"/>
      <c r="G206" s="92"/>
      <c r="H206" s="87"/>
      <c r="I206" s="4">
        <v>0</v>
      </c>
      <c r="J206" s="4">
        <f>+J207</f>
        <v>11066</v>
      </c>
      <c r="K206" s="4">
        <f t="shared" ref="K206:BD206" si="234">+K207</f>
        <v>11066</v>
      </c>
      <c r="L206" s="4">
        <f t="shared" si="234"/>
        <v>0</v>
      </c>
      <c r="M206" s="4">
        <f t="shared" si="234"/>
        <v>0</v>
      </c>
      <c r="N206" s="4">
        <f t="shared" si="234"/>
        <v>0</v>
      </c>
      <c r="O206" s="4">
        <f t="shared" si="234"/>
        <v>0</v>
      </c>
      <c r="P206" s="4">
        <f t="shared" si="234"/>
        <v>0</v>
      </c>
      <c r="Q206" s="4">
        <f t="shared" si="234"/>
        <v>0</v>
      </c>
      <c r="R206" s="4">
        <f t="shared" si="234"/>
        <v>11216</v>
      </c>
      <c r="S206" s="4">
        <f t="shared" si="234"/>
        <v>11216</v>
      </c>
      <c r="T206" s="4">
        <f t="shared" si="234"/>
        <v>0</v>
      </c>
      <c r="U206" s="4">
        <f t="shared" si="234"/>
        <v>0</v>
      </c>
      <c r="V206" s="4">
        <f t="shared" si="234"/>
        <v>0</v>
      </c>
      <c r="W206" s="4">
        <f t="shared" si="234"/>
        <v>0</v>
      </c>
      <c r="X206" s="4">
        <f t="shared" si="234"/>
        <v>0</v>
      </c>
      <c r="Y206" s="4">
        <f t="shared" si="234"/>
        <v>0</v>
      </c>
      <c r="Z206" s="4">
        <f t="shared" si="234"/>
        <v>0</v>
      </c>
      <c r="AA206" s="4">
        <f t="shared" si="234"/>
        <v>767</v>
      </c>
      <c r="AB206" s="4">
        <f t="shared" si="234"/>
        <v>767</v>
      </c>
      <c r="AC206" s="4">
        <f t="shared" si="234"/>
        <v>0</v>
      </c>
      <c r="AD206" s="4">
        <f t="shared" si="234"/>
        <v>0</v>
      </c>
      <c r="AE206" s="4">
        <f t="shared" si="234"/>
        <v>767</v>
      </c>
      <c r="AF206" s="4">
        <f t="shared" si="234"/>
        <v>767</v>
      </c>
      <c r="AG206" s="4">
        <f t="shared" si="234"/>
        <v>0</v>
      </c>
      <c r="AH206" s="4">
        <f t="shared" si="234"/>
        <v>0</v>
      </c>
      <c r="AI206" s="4">
        <f t="shared" si="234"/>
        <v>5022</v>
      </c>
      <c r="AJ206" s="4">
        <f t="shared" si="234"/>
        <v>5022</v>
      </c>
      <c r="AK206" s="4">
        <f t="shared" si="234"/>
        <v>0</v>
      </c>
      <c r="AL206" s="4">
        <f t="shared" si="234"/>
        <v>0</v>
      </c>
      <c r="AM206" s="4">
        <f t="shared" si="234"/>
        <v>5022</v>
      </c>
      <c r="AN206" s="4">
        <f t="shared" si="234"/>
        <v>5022</v>
      </c>
      <c r="AO206" s="4">
        <f t="shared" si="234"/>
        <v>0</v>
      </c>
      <c r="AP206" s="4">
        <f t="shared" si="234"/>
        <v>0</v>
      </c>
      <c r="AQ206" s="4">
        <f t="shared" si="234"/>
        <v>816</v>
      </c>
      <c r="AR206" s="4">
        <f t="shared" si="234"/>
        <v>816</v>
      </c>
      <c r="AS206" s="4">
        <f t="shared" si="234"/>
        <v>816</v>
      </c>
      <c r="AT206" s="4">
        <f t="shared" si="234"/>
        <v>4912</v>
      </c>
      <c r="AU206" s="4">
        <f t="shared" si="234"/>
        <v>4912</v>
      </c>
      <c r="AV206" s="4">
        <f t="shared" si="234"/>
        <v>0</v>
      </c>
      <c r="AW206" s="4">
        <f t="shared" si="234"/>
        <v>0</v>
      </c>
      <c r="AX206" s="4">
        <f t="shared" si="234"/>
        <v>5728</v>
      </c>
      <c r="AY206" s="4">
        <f t="shared" si="234"/>
        <v>5728</v>
      </c>
      <c r="AZ206" s="4">
        <f t="shared" si="234"/>
        <v>5728</v>
      </c>
      <c r="BA206" s="4">
        <f t="shared" si="234"/>
        <v>1164</v>
      </c>
      <c r="BB206" s="4">
        <f t="shared" si="234"/>
        <v>1164</v>
      </c>
      <c r="BC206" s="4">
        <f t="shared" si="234"/>
        <v>0</v>
      </c>
      <c r="BD206" s="4">
        <f t="shared" si="234"/>
        <v>0</v>
      </c>
      <c r="BE206" s="134"/>
      <c r="BF206" s="89"/>
    </row>
    <row r="207" spans="1:58" s="115" customFormat="1" ht="34.5" customHeight="1">
      <c r="A207" s="85" t="s">
        <v>103</v>
      </c>
      <c r="B207" s="91" t="s">
        <v>65</v>
      </c>
      <c r="C207" s="87"/>
      <c r="D207" s="87"/>
      <c r="E207" s="87"/>
      <c r="F207" s="87"/>
      <c r="G207" s="87"/>
      <c r="H207" s="87"/>
      <c r="I207" s="8"/>
      <c r="J207" s="4">
        <f>J208</f>
        <v>11066</v>
      </c>
      <c r="K207" s="4">
        <f t="shared" ref="K207:BD207" si="235">K208</f>
        <v>11066</v>
      </c>
      <c r="L207" s="4">
        <f t="shared" si="235"/>
        <v>0</v>
      </c>
      <c r="M207" s="4">
        <f t="shared" si="235"/>
        <v>0</v>
      </c>
      <c r="N207" s="4">
        <f t="shared" si="235"/>
        <v>0</v>
      </c>
      <c r="O207" s="4">
        <f t="shared" si="235"/>
        <v>0</v>
      </c>
      <c r="P207" s="4">
        <f t="shared" si="235"/>
        <v>0</v>
      </c>
      <c r="Q207" s="4">
        <f t="shared" si="235"/>
        <v>0</v>
      </c>
      <c r="R207" s="4">
        <f t="shared" si="235"/>
        <v>11216</v>
      </c>
      <c r="S207" s="4">
        <f t="shared" si="235"/>
        <v>11216</v>
      </c>
      <c r="T207" s="4">
        <f t="shared" si="235"/>
        <v>0</v>
      </c>
      <c r="U207" s="4">
        <f t="shared" si="235"/>
        <v>0</v>
      </c>
      <c r="V207" s="4">
        <f t="shared" si="235"/>
        <v>0</v>
      </c>
      <c r="W207" s="4">
        <f t="shared" si="235"/>
        <v>0</v>
      </c>
      <c r="X207" s="4">
        <f t="shared" si="235"/>
        <v>0</v>
      </c>
      <c r="Y207" s="4">
        <f t="shared" si="235"/>
        <v>0</v>
      </c>
      <c r="Z207" s="4">
        <f t="shared" si="235"/>
        <v>0</v>
      </c>
      <c r="AA207" s="4">
        <f t="shared" si="235"/>
        <v>767</v>
      </c>
      <c r="AB207" s="4">
        <f t="shared" si="235"/>
        <v>767</v>
      </c>
      <c r="AC207" s="4">
        <f t="shared" si="235"/>
        <v>0</v>
      </c>
      <c r="AD207" s="4">
        <f t="shared" si="235"/>
        <v>0</v>
      </c>
      <c r="AE207" s="4">
        <f t="shared" si="235"/>
        <v>767</v>
      </c>
      <c r="AF207" s="4">
        <f t="shared" si="235"/>
        <v>767</v>
      </c>
      <c r="AG207" s="4">
        <f t="shared" si="235"/>
        <v>0</v>
      </c>
      <c r="AH207" s="4">
        <f t="shared" si="235"/>
        <v>0</v>
      </c>
      <c r="AI207" s="4">
        <f t="shared" si="235"/>
        <v>5022</v>
      </c>
      <c r="AJ207" s="4">
        <f t="shared" si="235"/>
        <v>5022</v>
      </c>
      <c r="AK207" s="4">
        <f t="shared" si="235"/>
        <v>0</v>
      </c>
      <c r="AL207" s="4">
        <f t="shared" si="235"/>
        <v>0</v>
      </c>
      <c r="AM207" s="4">
        <f t="shared" si="235"/>
        <v>5022</v>
      </c>
      <c r="AN207" s="4">
        <f t="shared" si="235"/>
        <v>5022</v>
      </c>
      <c r="AO207" s="4">
        <f t="shared" si="235"/>
        <v>0</v>
      </c>
      <c r="AP207" s="4">
        <f t="shared" si="235"/>
        <v>0</v>
      </c>
      <c r="AQ207" s="4">
        <f t="shared" si="235"/>
        <v>816</v>
      </c>
      <c r="AR207" s="4">
        <f t="shared" si="235"/>
        <v>816</v>
      </c>
      <c r="AS207" s="4">
        <f t="shared" si="235"/>
        <v>816</v>
      </c>
      <c r="AT207" s="4">
        <f t="shared" si="235"/>
        <v>4912</v>
      </c>
      <c r="AU207" s="4">
        <f t="shared" si="235"/>
        <v>4912</v>
      </c>
      <c r="AV207" s="4">
        <f t="shared" si="235"/>
        <v>0</v>
      </c>
      <c r="AW207" s="4">
        <f t="shared" si="235"/>
        <v>0</v>
      </c>
      <c r="AX207" s="4">
        <f t="shared" si="235"/>
        <v>5728</v>
      </c>
      <c r="AY207" s="4">
        <f t="shared" si="235"/>
        <v>5728</v>
      </c>
      <c r="AZ207" s="4">
        <f t="shared" si="235"/>
        <v>5728</v>
      </c>
      <c r="BA207" s="4">
        <f t="shared" si="235"/>
        <v>1164</v>
      </c>
      <c r="BB207" s="4">
        <f t="shared" si="235"/>
        <v>1164</v>
      </c>
      <c r="BC207" s="4">
        <f t="shared" si="235"/>
        <v>0</v>
      </c>
      <c r="BD207" s="4">
        <f t="shared" si="235"/>
        <v>0</v>
      </c>
      <c r="BE207" s="134"/>
      <c r="BF207" s="89"/>
    </row>
    <row r="208" spans="1:58" s="115" customFormat="1" ht="27" customHeight="1">
      <c r="A208" s="142" t="s">
        <v>150</v>
      </c>
      <c r="B208" s="93" t="s">
        <v>265</v>
      </c>
      <c r="C208" s="87"/>
      <c r="D208" s="87"/>
      <c r="E208" s="87"/>
      <c r="F208" s="87"/>
      <c r="G208" s="87"/>
      <c r="H208" s="87"/>
      <c r="I208" s="8"/>
      <c r="J208" s="4">
        <f>SUM(J209:J212)</f>
        <v>11066</v>
      </c>
      <c r="K208" s="4">
        <f t="shared" ref="K208:BD208" si="236">SUM(K209:K212)</f>
        <v>11066</v>
      </c>
      <c r="L208" s="4">
        <f t="shared" si="236"/>
        <v>0</v>
      </c>
      <c r="M208" s="4">
        <f t="shared" si="236"/>
        <v>0</v>
      </c>
      <c r="N208" s="4">
        <f t="shared" si="236"/>
        <v>0</v>
      </c>
      <c r="O208" s="4">
        <f t="shared" si="236"/>
        <v>0</v>
      </c>
      <c r="P208" s="4">
        <f t="shared" si="236"/>
        <v>0</v>
      </c>
      <c r="Q208" s="4">
        <f t="shared" si="236"/>
        <v>0</v>
      </c>
      <c r="R208" s="4">
        <f t="shared" si="236"/>
        <v>11216</v>
      </c>
      <c r="S208" s="4">
        <f t="shared" si="236"/>
        <v>11216</v>
      </c>
      <c r="T208" s="4">
        <f t="shared" si="236"/>
        <v>0</v>
      </c>
      <c r="U208" s="4">
        <f t="shared" si="236"/>
        <v>0</v>
      </c>
      <c r="V208" s="4">
        <f t="shared" si="236"/>
        <v>0</v>
      </c>
      <c r="W208" s="4">
        <f t="shared" si="236"/>
        <v>0</v>
      </c>
      <c r="X208" s="4">
        <f t="shared" si="236"/>
        <v>0</v>
      </c>
      <c r="Y208" s="4">
        <f t="shared" si="236"/>
        <v>0</v>
      </c>
      <c r="Z208" s="4">
        <f t="shared" si="236"/>
        <v>0</v>
      </c>
      <c r="AA208" s="4">
        <f t="shared" si="236"/>
        <v>767</v>
      </c>
      <c r="AB208" s="4">
        <f t="shared" si="236"/>
        <v>767</v>
      </c>
      <c r="AC208" s="4">
        <f t="shared" si="236"/>
        <v>0</v>
      </c>
      <c r="AD208" s="4">
        <f t="shared" si="236"/>
        <v>0</v>
      </c>
      <c r="AE208" s="4">
        <f t="shared" si="236"/>
        <v>767</v>
      </c>
      <c r="AF208" s="4">
        <f t="shared" si="236"/>
        <v>767</v>
      </c>
      <c r="AG208" s="4">
        <f t="shared" si="236"/>
        <v>0</v>
      </c>
      <c r="AH208" s="4">
        <f t="shared" si="236"/>
        <v>0</v>
      </c>
      <c r="AI208" s="4">
        <f t="shared" si="236"/>
        <v>5022</v>
      </c>
      <c r="AJ208" s="4">
        <f t="shared" si="236"/>
        <v>5022</v>
      </c>
      <c r="AK208" s="4">
        <f t="shared" si="236"/>
        <v>0</v>
      </c>
      <c r="AL208" s="4">
        <f t="shared" si="236"/>
        <v>0</v>
      </c>
      <c r="AM208" s="4">
        <f t="shared" si="236"/>
        <v>5022</v>
      </c>
      <c r="AN208" s="4">
        <f t="shared" si="236"/>
        <v>5022</v>
      </c>
      <c r="AO208" s="4">
        <f t="shared" si="236"/>
        <v>0</v>
      </c>
      <c r="AP208" s="4">
        <f t="shared" si="236"/>
        <v>0</v>
      </c>
      <c r="AQ208" s="4">
        <f t="shared" si="236"/>
        <v>816</v>
      </c>
      <c r="AR208" s="4">
        <f t="shared" si="236"/>
        <v>816</v>
      </c>
      <c r="AS208" s="4">
        <f t="shared" si="236"/>
        <v>816</v>
      </c>
      <c r="AT208" s="4">
        <f t="shared" si="236"/>
        <v>4912</v>
      </c>
      <c r="AU208" s="4">
        <f t="shared" si="236"/>
        <v>4912</v>
      </c>
      <c r="AV208" s="4">
        <f t="shared" si="236"/>
        <v>0</v>
      </c>
      <c r="AW208" s="4">
        <f t="shared" si="236"/>
        <v>0</v>
      </c>
      <c r="AX208" s="4">
        <f t="shared" si="236"/>
        <v>5728</v>
      </c>
      <c r="AY208" s="4">
        <f t="shared" si="236"/>
        <v>5728</v>
      </c>
      <c r="AZ208" s="4">
        <f t="shared" si="236"/>
        <v>5728</v>
      </c>
      <c r="BA208" s="4">
        <f t="shared" si="236"/>
        <v>1164</v>
      </c>
      <c r="BB208" s="4">
        <f t="shared" si="236"/>
        <v>1164</v>
      </c>
      <c r="BC208" s="4">
        <f t="shared" si="236"/>
        <v>0</v>
      </c>
      <c r="BD208" s="4">
        <f t="shared" si="236"/>
        <v>0</v>
      </c>
      <c r="BE208" s="134"/>
      <c r="BF208" s="89"/>
    </row>
    <row r="209" spans="1:61" s="146" customFormat="1" ht="36" customHeight="1">
      <c r="A209" s="135">
        <v>1</v>
      </c>
      <c r="B209" s="117" t="s">
        <v>393</v>
      </c>
      <c r="C209" s="99" t="s">
        <v>394</v>
      </c>
      <c r="D209" s="99"/>
      <c r="E209" s="99" t="s">
        <v>395</v>
      </c>
      <c r="F209" s="99"/>
      <c r="G209" s="99"/>
      <c r="H209" s="105" t="s">
        <v>280</v>
      </c>
      <c r="I209" s="217" t="s">
        <v>396</v>
      </c>
      <c r="J209" s="151">
        <v>4500</v>
      </c>
      <c r="K209" s="151">
        <v>4500</v>
      </c>
      <c r="L209" s="3"/>
      <c r="M209" s="3"/>
      <c r="N209" s="3"/>
      <c r="O209" s="3"/>
      <c r="P209" s="3">
        <f t="shared" ref="P209:Q212" si="237">L209+W209</f>
        <v>0</v>
      </c>
      <c r="Q209" s="3">
        <f t="shared" si="237"/>
        <v>0</v>
      </c>
      <c r="R209" s="3">
        <f>+S209</f>
        <v>4500</v>
      </c>
      <c r="S209" s="3">
        <v>4500</v>
      </c>
      <c r="T209" s="3"/>
      <c r="U209" s="3"/>
      <c r="V209" s="3"/>
      <c r="W209" s="3"/>
      <c r="X209" s="3"/>
      <c r="Y209" s="3"/>
      <c r="Z209" s="3"/>
      <c r="AA209" s="3">
        <v>300</v>
      </c>
      <c r="AB209" s="3">
        <v>300</v>
      </c>
      <c r="AC209" s="3"/>
      <c r="AD209" s="3"/>
      <c r="AE209" s="3">
        <f t="shared" ref="AE209:AF212" si="238">W209+AA209</f>
        <v>300</v>
      </c>
      <c r="AF209" s="3">
        <f t="shared" si="238"/>
        <v>300</v>
      </c>
      <c r="AG209" s="3"/>
      <c r="AH209" s="3"/>
      <c r="AI209" s="3">
        <f t="shared" ref="AI209:AJ212" si="239">AM209</f>
        <v>1500</v>
      </c>
      <c r="AJ209" s="3">
        <f t="shared" si="239"/>
        <v>1500</v>
      </c>
      <c r="AK209" s="3">
        <f t="shared" si="218"/>
        <v>0</v>
      </c>
      <c r="AL209" s="3">
        <f t="shared" si="218"/>
        <v>0</v>
      </c>
      <c r="AM209" s="3">
        <f>AN209</f>
        <v>1500</v>
      </c>
      <c r="AN209" s="3">
        <v>1500</v>
      </c>
      <c r="AO209" s="3"/>
      <c r="AP209" s="3"/>
      <c r="AQ209" s="12">
        <f>+AR209</f>
        <v>382</v>
      </c>
      <c r="AR209" s="12">
        <f t="shared" ref="AR209:AR212" si="240">AS209</f>
        <v>382</v>
      </c>
      <c r="AS209" s="12">
        <v>382</v>
      </c>
      <c r="AT209" s="12">
        <f t="shared" ref="AT209:AT211" si="241">AU209</f>
        <v>2600</v>
      </c>
      <c r="AU209" s="12">
        <v>2600</v>
      </c>
      <c r="AV209" s="12"/>
      <c r="AW209" s="12"/>
      <c r="AX209" s="3">
        <f t="shared" ref="AX209:AX212" si="242">AQ209+AU209</f>
        <v>2982</v>
      </c>
      <c r="AY209" s="3">
        <f t="shared" ref="AY209:AY212" si="243">AZ209</f>
        <v>2982</v>
      </c>
      <c r="AZ209" s="3">
        <f t="shared" ref="AZ209:AZ212" si="244">AS209+AU209</f>
        <v>2982</v>
      </c>
      <c r="BA209" s="3">
        <f t="shared" ref="BA209:BA212" si="245">BB209</f>
        <v>0</v>
      </c>
      <c r="BB209" s="3"/>
      <c r="BC209" s="3"/>
      <c r="BD209" s="3"/>
      <c r="BE209" s="145" t="s">
        <v>397</v>
      </c>
      <c r="BF209" s="57"/>
    </row>
    <row r="210" spans="1:61" s="146" customFormat="1" ht="34.5" customHeight="1">
      <c r="A210" s="135">
        <v>2</v>
      </c>
      <c r="B210" s="117" t="s">
        <v>398</v>
      </c>
      <c r="C210" s="99" t="s">
        <v>394</v>
      </c>
      <c r="D210" s="99"/>
      <c r="E210" s="99" t="s">
        <v>395</v>
      </c>
      <c r="F210" s="99"/>
      <c r="G210" s="99"/>
      <c r="H210" s="105" t="s">
        <v>280</v>
      </c>
      <c r="I210" s="217" t="s">
        <v>399</v>
      </c>
      <c r="J210" s="151">
        <f>K210</f>
        <v>3916</v>
      </c>
      <c r="K210" s="151">
        <v>3916</v>
      </c>
      <c r="L210" s="3"/>
      <c r="M210" s="3"/>
      <c r="N210" s="3"/>
      <c r="O210" s="3"/>
      <c r="P210" s="3">
        <f t="shared" si="237"/>
        <v>0</v>
      </c>
      <c r="Q210" s="3">
        <f t="shared" si="237"/>
        <v>0</v>
      </c>
      <c r="R210" s="3">
        <f>+S210</f>
        <v>3916</v>
      </c>
      <c r="S210" s="3">
        <v>3916</v>
      </c>
      <c r="T210" s="3" t="s">
        <v>54</v>
      </c>
      <c r="U210" s="3"/>
      <c r="V210" s="3"/>
      <c r="W210" s="3"/>
      <c r="X210" s="3"/>
      <c r="Y210" s="3"/>
      <c r="Z210" s="3"/>
      <c r="AA210" s="3">
        <v>250</v>
      </c>
      <c r="AB210" s="3">
        <v>250</v>
      </c>
      <c r="AC210" s="3"/>
      <c r="AD210" s="3"/>
      <c r="AE210" s="3">
        <f t="shared" si="238"/>
        <v>250</v>
      </c>
      <c r="AF210" s="3">
        <f t="shared" si="238"/>
        <v>250</v>
      </c>
      <c r="AG210" s="3"/>
      <c r="AH210" s="3"/>
      <c r="AI210" s="3">
        <f t="shared" si="239"/>
        <v>1222</v>
      </c>
      <c r="AJ210" s="3">
        <f t="shared" si="239"/>
        <v>1222</v>
      </c>
      <c r="AK210" s="3">
        <f t="shared" si="218"/>
        <v>0</v>
      </c>
      <c r="AL210" s="3">
        <f t="shared" si="218"/>
        <v>0</v>
      </c>
      <c r="AM210" s="3">
        <f>AN210</f>
        <v>1222</v>
      </c>
      <c r="AN210" s="3">
        <v>1222</v>
      </c>
      <c r="AO210" s="3"/>
      <c r="AP210" s="3"/>
      <c r="AQ210" s="12">
        <f>+AR210</f>
        <v>379</v>
      </c>
      <c r="AR210" s="12">
        <f t="shared" si="240"/>
        <v>379</v>
      </c>
      <c r="AS210" s="12">
        <v>379</v>
      </c>
      <c r="AT210" s="12">
        <f t="shared" si="241"/>
        <v>2179</v>
      </c>
      <c r="AU210" s="12">
        <v>2179</v>
      </c>
      <c r="AV210" s="12"/>
      <c r="AW210" s="12"/>
      <c r="AX210" s="3">
        <f t="shared" si="242"/>
        <v>2558</v>
      </c>
      <c r="AY210" s="3">
        <f t="shared" si="243"/>
        <v>2558</v>
      </c>
      <c r="AZ210" s="3">
        <f t="shared" si="244"/>
        <v>2558</v>
      </c>
      <c r="BA210" s="3">
        <f t="shared" si="245"/>
        <v>0</v>
      </c>
      <c r="BB210" s="3"/>
      <c r="BC210" s="3"/>
      <c r="BD210" s="3"/>
      <c r="BE210" s="145" t="s">
        <v>397</v>
      </c>
      <c r="BF210" s="57"/>
    </row>
    <row r="211" spans="1:61" s="146" customFormat="1" ht="42" customHeight="1">
      <c r="A211" s="135">
        <v>3</v>
      </c>
      <c r="B211" s="117" t="s">
        <v>400</v>
      </c>
      <c r="C211" s="99" t="s">
        <v>394</v>
      </c>
      <c r="D211" s="99"/>
      <c r="E211" s="99" t="s">
        <v>395</v>
      </c>
      <c r="F211" s="99"/>
      <c r="G211" s="99"/>
      <c r="H211" s="105" t="s">
        <v>280</v>
      </c>
      <c r="I211" s="217" t="s">
        <v>401</v>
      </c>
      <c r="J211" s="151">
        <v>1350</v>
      </c>
      <c r="K211" s="151">
        <v>1350</v>
      </c>
      <c r="L211" s="3"/>
      <c r="M211" s="3"/>
      <c r="N211" s="3"/>
      <c r="O211" s="3"/>
      <c r="P211" s="3">
        <f t="shared" si="237"/>
        <v>0</v>
      </c>
      <c r="Q211" s="3">
        <f t="shared" si="237"/>
        <v>0</v>
      </c>
      <c r="R211" s="3">
        <v>1500</v>
      </c>
      <c r="S211" s="3">
        <v>1500</v>
      </c>
      <c r="T211" s="3"/>
      <c r="U211" s="3"/>
      <c r="V211" s="3"/>
      <c r="W211" s="3"/>
      <c r="X211" s="3"/>
      <c r="Y211" s="3"/>
      <c r="Z211" s="3"/>
      <c r="AA211" s="3">
        <v>117</v>
      </c>
      <c r="AB211" s="3">
        <v>117</v>
      </c>
      <c r="AC211" s="3"/>
      <c r="AD211" s="3"/>
      <c r="AE211" s="3">
        <f t="shared" si="238"/>
        <v>117</v>
      </c>
      <c r="AF211" s="3">
        <f t="shared" si="238"/>
        <v>117</v>
      </c>
      <c r="AG211" s="3"/>
      <c r="AH211" s="3"/>
      <c r="AI211" s="3">
        <f t="shared" si="239"/>
        <v>1150</v>
      </c>
      <c r="AJ211" s="3">
        <f t="shared" si="239"/>
        <v>1150</v>
      </c>
      <c r="AK211" s="3">
        <f t="shared" si="218"/>
        <v>0</v>
      </c>
      <c r="AL211" s="3">
        <f t="shared" si="218"/>
        <v>0</v>
      </c>
      <c r="AM211" s="3">
        <f>AN211</f>
        <v>1150</v>
      </c>
      <c r="AN211" s="3">
        <v>1150</v>
      </c>
      <c r="AO211" s="3"/>
      <c r="AP211" s="3"/>
      <c r="AQ211" s="12">
        <f>+AR211</f>
        <v>55</v>
      </c>
      <c r="AR211" s="12">
        <f t="shared" si="240"/>
        <v>55</v>
      </c>
      <c r="AS211" s="12">
        <v>55</v>
      </c>
      <c r="AT211" s="12">
        <f t="shared" si="241"/>
        <v>83</v>
      </c>
      <c r="AU211" s="12">
        <v>83</v>
      </c>
      <c r="AV211" s="12"/>
      <c r="AW211" s="12"/>
      <c r="AX211" s="3">
        <f t="shared" si="242"/>
        <v>138</v>
      </c>
      <c r="AY211" s="3">
        <f t="shared" si="243"/>
        <v>138</v>
      </c>
      <c r="AZ211" s="3">
        <f t="shared" si="244"/>
        <v>138</v>
      </c>
      <c r="BA211" s="3">
        <f t="shared" si="245"/>
        <v>0</v>
      </c>
      <c r="BB211" s="3"/>
      <c r="BC211" s="3"/>
      <c r="BD211" s="3"/>
      <c r="BE211" s="145" t="s">
        <v>397</v>
      </c>
      <c r="BF211" s="57"/>
    </row>
    <row r="212" spans="1:61" s="146" customFormat="1" ht="40.700000000000003" customHeight="1">
      <c r="A212" s="135">
        <v>4</v>
      </c>
      <c r="B212" s="144" t="s">
        <v>402</v>
      </c>
      <c r="C212" s="99" t="s">
        <v>394</v>
      </c>
      <c r="D212" s="99"/>
      <c r="E212" s="99" t="s">
        <v>395</v>
      </c>
      <c r="F212" s="99"/>
      <c r="G212" s="99"/>
      <c r="H212" s="105" t="s">
        <v>134</v>
      </c>
      <c r="I212" s="105" t="s">
        <v>403</v>
      </c>
      <c r="J212" s="151">
        <f>+K212</f>
        <v>1300</v>
      </c>
      <c r="K212" s="151">
        <v>1300</v>
      </c>
      <c r="L212" s="3"/>
      <c r="M212" s="3"/>
      <c r="N212" s="3"/>
      <c r="O212" s="3"/>
      <c r="P212" s="3">
        <f t="shared" si="237"/>
        <v>0</v>
      </c>
      <c r="Q212" s="3">
        <f t="shared" si="237"/>
        <v>0</v>
      </c>
      <c r="R212" s="3">
        <v>1300</v>
      </c>
      <c r="S212" s="3">
        <v>1300</v>
      </c>
      <c r="T212" s="3"/>
      <c r="U212" s="3"/>
      <c r="V212" s="3"/>
      <c r="W212" s="3"/>
      <c r="X212" s="3"/>
      <c r="Y212" s="3"/>
      <c r="Z212" s="3"/>
      <c r="AA212" s="3">
        <v>100</v>
      </c>
      <c r="AB212" s="3">
        <v>100</v>
      </c>
      <c r="AC212" s="3"/>
      <c r="AD212" s="3"/>
      <c r="AE212" s="3">
        <f t="shared" si="238"/>
        <v>100</v>
      </c>
      <c r="AF212" s="3">
        <f t="shared" si="238"/>
        <v>100</v>
      </c>
      <c r="AG212" s="3"/>
      <c r="AH212" s="3"/>
      <c r="AI212" s="3">
        <f t="shared" si="239"/>
        <v>1150</v>
      </c>
      <c r="AJ212" s="3">
        <f t="shared" si="239"/>
        <v>1150</v>
      </c>
      <c r="AK212" s="3">
        <f t="shared" si="218"/>
        <v>0</v>
      </c>
      <c r="AL212" s="3">
        <f t="shared" si="218"/>
        <v>0</v>
      </c>
      <c r="AM212" s="3">
        <f>AN212</f>
        <v>1150</v>
      </c>
      <c r="AN212" s="3">
        <v>1150</v>
      </c>
      <c r="AO212" s="3"/>
      <c r="AP212" s="3"/>
      <c r="AQ212" s="12">
        <f>+AR212</f>
        <v>0</v>
      </c>
      <c r="AR212" s="12">
        <f t="shared" si="240"/>
        <v>0</v>
      </c>
      <c r="AS212" s="12">
        <v>0</v>
      </c>
      <c r="AT212" s="12">
        <f>+AU212</f>
        <v>50</v>
      </c>
      <c r="AU212" s="12">
        <v>50</v>
      </c>
      <c r="AV212" s="12"/>
      <c r="AW212" s="12"/>
      <c r="AX212" s="3">
        <f t="shared" si="242"/>
        <v>50</v>
      </c>
      <c r="AY212" s="3">
        <f t="shared" si="243"/>
        <v>50</v>
      </c>
      <c r="AZ212" s="3">
        <f t="shared" si="244"/>
        <v>50</v>
      </c>
      <c r="BA212" s="3">
        <f t="shared" si="245"/>
        <v>1164</v>
      </c>
      <c r="BB212" s="3">
        <f>S212-AZ212-86</f>
        <v>1164</v>
      </c>
      <c r="BC212" s="3"/>
      <c r="BD212" s="3"/>
      <c r="BE212" s="145"/>
      <c r="BF212" s="57"/>
    </row>
    <row r="213" spans="1:61" s="123" customFormat="1" ht="30.2" hidden="1" customHeight="1">
      <c r="A213" s="218"/>
      <c r="B213" s="219" t="s">
        <v>404</v>
      </c>
      <c r="C213" s="121"/>
      <c r="D213" s="121"/>
      <c r="E213" s="121"/>
      <c r="F213" s="121"/>
      <c r="G213" s="121"/>
      <c r="H213" s="124"/>
      <c r="I213" s="124"/>
      <c r="J213" s="220"/>
      <c r="K213" s="220"/>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20"/>
      <c r="AR213" s="20"/>
      <c r="AS213" s="20"/>
      <c r="AT213" s="20"/>
      <c r="AU213" s="20"/>
      <c r="AV213" s="20"/>
      <c r="AW213" s="20"/>
      <c r="AX213" s="18"/>
      <c r="AY213" s="18"/>
      <c r="AZ213" s="18"/>
      <c r="BA213" s="18"/>
      <c r="BB213" s="18"/>
      <c r="BC213" s="18"/>
      <c r="BD213" s="18"/>
      <c r="BE213" s="159"/>
      <c r="BF213" s="125"/>
    </row>
    <row r="214" spans="1:61" s="146" customFormat="1" ht="38.25" hidden="1" customHeight="1">
      <c r="A214" s="135">
        <v>1</v>
      </c>
      <c r="B214" s="221" t="s">
        <v>405</v>
      </c>
      <c r="C214" s="99"/>
      <c r="D214" s="99"/>
      <c r="E214" s="99"/>
      <c r="F214" s="99"/>
      <c r="G214" s="99"/>
      <c r="H214" s="105"/>
      <c r="I214" s="105"/>
      <c r="J214" s="151"/>
      <c r="K214" s="151"/>
      <c r="L214" s="3"/>
      <c r="M214" s="3"/>
      <c r="N214" s="3"/>
      <c r="O214" s="3"/>
      <c r="P214" s="3"/>
      <c r="Q214" s="3"/>
      <c r="R214" s="3">
        <v>2000</v>
      </c>
      <c r="S214" s="3">
        <v>2000</v>
      </c>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12"/>
      <c r="AR214" s="12"/>
      <c r="AS214" s="12"/>
      <c r="AT214" s="12">
        <f>+AU214</f>
        <v>100</v>
      </c>
      <c r="AU214" s="12">
        <v>100</v>
      </c>
      <c r="AV214" s="12"/>
      <c r="AW214" s="12"/>
      <c r="AX214" s="3"/>
      <c r="AY214" s="3"/>
      <c r="AZ214" s="3"/>
      <c r="BA214" s="3"/>
      <c r="BB214" s="3"/>
      <c r="BC214" s="3"/>
      <c r="BD214" s="3"/>
      <c r="BE214" s="145" t="s">
        <v>406</v>
      </c>
      <c r="BF214" s="57"/>
    </row>
    <row r="215" spans="1:61" s="146" customFormat="1" ht="31.7" hidden="1" customHeight="1">
      <c r="A215" s="135">
        <v>2</v>
      </c>
      <c r="B215" s="221" t="s">
        <v>407</v>
      </c>
      <c r="C215" s="99"/>
      <c r="D215" s="99"/>
      <c r="E215" s="99"/>
      <c r="F215" s="99"/>
      <c r="G215" s="99"/>
      <c r="H215" s="105"/>
      <c r="I215" s="105"/>
      <c r="J215" s="151"/>
      <c r="K215" s="151"/>
      <c r="L215" s="3"/>
      <c r="M215" s="3"/>
      <c r="N215" s="3"/>
      <c r="O215" s="3"/>
      <c r="P215" s="3"/>
      <c r="Q215" s="3"/>
      <c r="R215" s="3">
        <v>6000</v>
      </c>
      <c r="S215" s="3">
        <v>6000</v>
      </c>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12"/>
      <c r="AR215" s="12"/>
      <c r="AS215" s="12"/>
      <c r="AT215" s="12">
        <f t="shared" ref="AT215:AT216" si="246">+AU215</f>
        <v>100</v>
      </c>
      <c r="AU215" s="12">
        <v>100</v>
      </c>
      <c r="AV215" s="12"/>
      <c r="AW215" s="12"/>
      <c r="AX215" s="3"/>
      <c r="AY215" s="3"/>
      <c r="AZ215" s="3"/>
      <c r="BA215" s="3"/>
      <c r="BB215" s="3"/>
      <c r="BC215" s="3"/>
      <c r="BD215" s="3"/>
      <c r="BE215" s="145" t="s">
        <v>406</v>
      </c>
      <c r="BF215" s="57"/>
    </row>
    <row r="216" spans="1:61" s="146" customFormat="1" ht="49.7" hidden="1" customHeight="1">
      <c r="A216" s="135">
        <v>3</v>
      </c>
      <c r="B216" s="222" t="s">
        <v>408</v>
      </c>
      <c r="C216" s="99"/>
      <c r="D216" s="99"/>
      <c r="E216" s="99"/>
      <c r="F216" s="99"/>
      <c r="G216" s="99"/>
      <c r="H216" s="105"/>
      <c r="I216" s="105"/>
      <c r="J216" s="151"/>
      <c r="K216" s="151"/>
      <c r="L216" s="3"/>
      <c r="M216" s="3"/>
      <c r="N216" s="3"/>
      <c r="O216" s="3"/>
      <c r="P216" s="3"/>
      <c r="Q216" s="3"/>
      <c r="R216" s="3">
        <v>3715</v>
      </c>
      <c r="S216" s="3">
        <v>3715</v>
      </c>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12"/>
      <c r="AR216" s="12"/>
      <c r="AS216" s="12"/>
      <c r="AT216" s="12">
        <f t="shared" si="246"/>
        <v>100</v>
      </c>
      <c r="AU216" s="12">
        <v>100</v>
      </c>
      <c r="AV216" s="12"/>
      <c r="AW216" s="12"/>
      <c r="AX216" s="3"/>
      <c r="AY216" s="3"/>
      <c r="AZ216" s="3"/>
      <c r="BA216" s="3"/>
      <c r="BB216" s="3"/>
      <c r="BC216" s="3"/>
      <c r="BD216" s="3"/>
      <c r="BE216" s="145" t="s">
        <v>406</v>
      </c>
      <c r="BF216" s="57"/>
    </row>
    <row r="217" spans="1:61" s="89" customFormat="1" ht="29.1" customHeight="1">
      <c r="A217" s="132"/>
      <c r="B217" s="86" t="s">
        <v>90</v>
      </c>
      <c r="C217" s="87"/>
      <c r="D217" s="87"/>
      <c r="E217" s="87"/>
      <c r="F217" s="87"/>
      <c r="G217" s="87"/>
      <c r="H217" s="87"/>
      <c r="I217" s="8"/>
      <c r="J217" s="4"/>
      <c r="K217" s="4"/>
      <c r="L217" s="4"/>
      <c r="M217" s="4"/>
      <c r="N217" s="4"/>
      <c r="O217" s="4"/>
      <c r="P217" s="3"/>
      <c r="Q217" s="3"/>
      <c r="R217" s="4"/>
      <c r="S217" s="4"/>
      <c r="T217" s="4"/>
      <c r="U217" s="4"/>
      <c r="V217" s="4"/>
      <c r="W217" s="4"/>
      <c r="X217" s="4"/>
      <c r="Y217" s="4"/>
      <c r="Z217" s="4"/>
      <c r="AA217" s="4"/>
      <c r="AB217" s="4">
        <v>31018</v>
      </c>
      <c r="AC217" s="4"/>
      <c r="AD217" s="4"/>
      <c r="AE217" s="4"/>
      <c r="AF217" s="4"/>
      <c r="AG217" s="4"/>
      <c r="AH217" s="4"/>
      <c r="AI217" s="4"/>
      <c r="AJ217" s="4"/>
      <c r="AK217" s="4"/>
      <c r="AL217" s="4"/>
      <c r="AM217" s="4"/>
      <c r="AN217" s="4">
        <v>23716.550000000003</v>
      </c>
      <c r="AO217" s="4"/>
      <c r="AP217" s="4"/>
      <c r="AQ217" s="22"/>
      <c r="AR217" s="22"/>
      <c r="AS217" s="22"/>
      <c r="AT217" s="22"/>
      <c r="AU217" s="22">
        <v>23987</v>
      </c>
      <c r="AV217" s="22"/>
      <c r="AW217" s="22"/>
      <c r="AX217" s="4"/>
      <c r="AY217" s="4"/>
      <c r="AZ217" s="4"/>
      <c r="BA217" s="4"/>
      <c r="BB217" s="4"/>
      <c r="BC217" s="4"/>
      <c r="BD217" s="4"/>
      <c r="BE217" s="37"/>
    </row>
    <row r="218" spans="1:61" s="115" customFormat="1" ht="29.25" customHeight="1">
      <c r="A218" s="132" t="s">
        <v>409</v>
      </c>
      <c r="B218" s="141" t="s">
        <v>410</v>
      </c>
      <c r="C218" s="87"/>
      <c r="D218" s="87"/>
      <c r="E218" s="87"/>
      <c r="F218" s="87"/>
      <c r="G218" s="92"/>
      <c r="H218" s="87"/>
      <c r="I218" s="8"/>
      <c r="J218" s="4">
        <f>+J219+J222</f>
        <v>71767</v>
      </c>
      <c r="K218" s="4">
        <f t="shared" ref="K218:BB218" si="247">+K219+K222</f>
        <v>71767</v>
      </c>
      <c r="L218" s="4">
        <f t="shared" si="247"/>
        <v>0</v>
      </c>
      <c r="M218" s="4">
        <f t="shared" si="247"/>
        <v>0</v>
      </c>
      <c r="N218" s="4">
        <f t="shared" si="247"/>
        <v>0</v>
      </c>
      <c r="O218" s="4">
        <f t="shared" si="247"/>
        <v>0</v>
      </c>
      <c r="P218" s="4">
        <f t="shared" si="247"/>
        <v>0</v>
      </c>
      <c r="Q218" s="4">
        <f t="shared" si="247"/>
        <v>0</v>
      </c>
      <c r="R218" s="4">
        <f t="shared" si="247"/>
        <v>41739</v>
      </c>
      <c r="S218" s="4">
        <f t="shared" si="247"/>
        <v>41739</v>
      </c>
      <c r="T218" s="4">
        <f t="shared" si="247"/>
        <v>0</v>
      </c>
      <c r="U218" s="4">
        <f t="shared" si="247"/>
        <v>0</v>
      </c>
      <c r="V218" s="4">
        <f t="shared" si="247"/>
        <v>0</v>
      </c>
      <c r="W218" s="4">
        <f t="shared" si="247"/>
        <v>0</v>
      </c>
      <c r="X218" s="4">
        <f t="shared" si="247"/>
        <v>0</v>
      </c>
      <c r="Y218" s="4">
        <f t="shared" si="247"/>
        <v>0</v>
      </c>
      <c r="Z218" s="4">
        <f t="shared" si="247"/>
        <v>0</v>
      </c>
      <c r="AA218" s="4">
        <f t="shared" si="247"/>
        <v>0</v>
      </c>
      <c r="AB218" s="4">
        <f t="shared" si="247"/>
        <v>0</v>
      </c>
      <c r="AC218" s="4">
        <f t="shared" si="247"/>
        <v>0</v>
      </c>
      <c r="AD218" s="4">
        <f t="shared" si="247"/>
        <v>0</v>
      </c>
      <c r="AE218" s="4">
        <f t="shared" si="247"/>
        <v>0</v>
      </c>
      <c r="AF218" s="4">
        <f t="shared" si="247"/>
        <v>0</v>
      </c>
      <c r="AG218" s="4">
        <f t="shared" si="247"/>
        <v>0</v>
      </c>
      <c r="AH218" s="4">
        <f t="shared" si="247"/>
        <v>0</v>
      </c>
      <c r="AI218" s="4">
        <f t="shared" si="247"/>
        <v>350</v>
      </c>
      <c r="AJ218" s="4">
        <f t="shared" si="247"/>
        <v>350</v>
      </c>
      <c r="AK218" s="4">
        <f t="shared" si="247"/>
        <v>0</v>
      </c>
      <c r="AL218" s="4">
        <f t="shared" si="247"/>
        <v>0</v>
      </c>
      <c r="AM218" s="4">
        <f t="shared" si="247"/>
        <v>350</v>
      </c>
      <c r="AN218" s="4">
        <f t="shared" si="247"/>
        <v>350</v>
      </c>
      <c r="AO218" s="4">
        <f t="shared" si="247"/>
        <v>0</v>
      </c>
      <c r="AP218" s="4">
        <f t="shared" si="247"/>
        <v>0</v>
      </c>
      <c r="AQ218" s="4">
        <f t="shared" si="247"/>
        <v>43528</v>
      </c>
      <c r="AR218" s="4">
        <f t="shared" si="247"/>
        <v>19187</v>
      </c>
      <c r="AS218" s="4">
        <f t="shared" si="247"/>
        <v>19187</v>
      </c>
      <c r="AT218" s="4">
        <f t="shared" si="247"/>
        <v>12319</v>
      </c>
      <c r="AU218" s="4">
        <f t="shared" si="247"/>
        <v>12319</v>
      </c>
      <c r="AV218" s="4">
        <f t="shared" si="247"/>
        <v>0</v>
      </c>
      <c r="AW218" s="4">
        <f t="shared" si="247"/>
        <v>0</v>
      </c>
      <c r="AX218" s="4">
        <f t="shared" si="247"/>
        <v>55847</v>
      </c>
      <c r="AY218" s="4">
        <f t="shared" si="247"/>
        <v>31506</v>
      </c>
      <c r="AZ218" s="4">
        <f t="shared" si="247"/>
        <v>31506</v>
      </c>
      <c r="BA218" s="4">
        <f t="shared" si="247"/>
        <v>15921</v>
      </c>
      <c r="BB218" s="4">
        <f t="shared" si="247"/>
        <v>15921</v>
      </c>
      <c r="BC218" s="4">
        <f t="shared" ref="BC218:BD218" si="248">+BC222</f>
        <v>0</v>
      </c>
      <c r="BD218" s="4">
        <f t="shared" si="248"/>
        <v>0</v>
      </c>
      <c r="BE218" s="134"/>
      <c r="BF218" s="89"/>
    </row>
    <row r="219" spans="1:61" s="115" customFormat="1" ht="34.5" customHeight="1">
      <c r="A219" s="85" t="s">
        <v>172</v>
      </c>
      <c r="B219" s="91" t="s">
        <v>411</v>
      </c>
      <c r="C219" s="87"/>
      <c r="D219" s="87"/>
      <c r="E219" s="87"/>
      <c r="F219" s="87"/>
      <c r="G219" s="87"/>
      <c r="H219" s="87"/>
      <c r="I219" s="8"/>
      <c r="J219" s="9">
        <f>J220</f>
        <v>56167</v>
      </c>
      <c r="K219" s="9">
        <f t="shared" ref="K219:BD219" si="249">K220</f>
        <v>56167</v>
      </c>
      <c r="L219" s="9">
        <f t="shared" si="249"/>
        <v>0</v>
      </c>
      <c r="M219" s="9">
        <f t="shared" si="249"/>
        <v>0</v>
      </c>
      <c r="N219" s="9">
        <f t="shared" si="249"/>
        <v>0</v>
      </c>
      <c r="O219" s="9">
        <f t="shared" si="249"/>
        <v>0</v>
      </c>
      <c r="P219" s="9">
        <f t="shared" si="249"/>
        <v>0</v>
      </c>
      <c r="Q219" s="9">
        <f t="shared" si="249"/>
        <v>0</v>
      </c>
      <c r="R219" s="9">
        <f t="shared" si="249"/>
        <v>26139</v>
      </c>
      <c r="S219" s="9">
        <f t="shared" si="249"/>
        <v>26139</v>
      </c>
      <c r="T219" s="9">
        <f t="shared" si="249"/>
        <v>0</v>
      </c>
      <c r="U219" s="9">
        <f t="shared" si="249"/>
        <v>0</v>
      </c>
      <c r="V219" s="9">
        <f t="shared" si="249"/>
        <v>0</v>
      </c>
      <c r="W219" s="9">
        <f t="shared" si="249"/>
        <v>0</v>
      </c>
      <c r="X219" s="9">
        <f t="shared" si="249"/>
        <v>0</v>
      </c>
      <c r="Y219" s="9">
        <f t="shared" si="249"/>
        <v>0</v>
      </c>
      <c r="Z219" s="9">
        <f t="shared" si="249"/>
        <v>0</v>
      </c>
      <c r="AA219" s="9">
        <f t="shared" si="249"/>
        <v>0</v>
      </c>
      <c r="AB219" s="9">
        <f t="shared" si="249"/>
        <v>0</v>
      </c>
      <c r="AC219" s="9">
        <f t="shared" si="249"/>
        <v>0</v>
      </c>
      <c r="AD219" s="9">
        <f t="shared" si="249"/>
        <v>0</v>
      </c>
      <c r="AE219" s="9">
        <f t="shared" si="249"/>
        <v>0</v>
      </c>
      <c r="AF219" s="9">
        <f t="shared" si="249"/>
        <v>0</v>
      </c>
      <c r="AG219" s="9">
        <f t="shared" si="249"/>
        <v>0</v>
      </c>
      <c r="AH219" s="9">
        <f t="shared" si="249"/>
        <v>0</v>
      </c>
      <c r="AI219" s="9">
        <f t="shared" si="249"/>
        <v>0</v>
      </c>
      <c r="AJ219" s="9">
        <f t="shared" si="249"/>
        <v>0</v>
      </c>
      <c r="AK219" s="9">
        <f t="shared" si="249"/>
        <v>0</v>
      </c>
      <c r="AL219" s="9">
        <f t="shared" si="249"/>
        <v>0</v>
      </c>
      <c r="AM219" s="9">
        <f t="shared" si="249"/>
        <v>0</v>
      </c>
      <c r="AN219" s="9">
        <f t="shared" si="249"/>
        <v>0</v>
      </c>
      <c r="AO219" s="9">
        <f t="shared" si="249"/>
        <v>0</v>
      </c>
      <c r="AP219" s="9">
        <f t="shared" si="249"/>
        <v>0</v>
      </c>
      <c r="AQ219" s="9">
        <f t="shared" si="249"/>
        <v>43178</v>
      </c>
      <c r="AR219" s="9">
        <f t="shared" si="249"/>
        <v>18837</v>
      </c>
      <c r="AS219" s="9">
        <f t="shared" si="249"/>
        <v>18837</v>
      </c>
      <c r="AT219" s="9">
        <f t="shared" si="249"/>
        <v>7302</v>
      </c>
      <c r="AU219" s="9">
        <f t="shared" si="249"/>
        <v>7302</v>
      </c>
      <c r="AV219" s="9">
        <f t="shared" si="249"/>
        <v>0</v>
      </c>
      <c r="AW219" s="9">
        <f t="shared" si="249"/>
        <v>0</v>
      </c>
      <c r="AX219" s="9">
        <f t="shared" si="249"/>
        <v>50480</v>
      </c>
      <c r="AY219" s="9">
        <f t="shared" si="249"/>
        <v>26139</v>
      </c>
      <c r="AZ219" s="9">
        <f t="shared" si="249"/>
        <v>26139</v>
      </c>
      <c r="BA219" s="9">
        <f t="shared" si="249"/>
        <v>5688</v>
      </c>
      <c r="BB219" s="9">
        <f t="shared" si="249"/>
        <v>5688</v>
      </c>
      <c r="BC219" s="9">
        <f t="shared" si="249"/>
        <v>0</v>
      </c>
      <c r="BD219" s="9">
        <f t="shared" si="249"/>
        <v>0</v>
      </c>
      <c r="BE219" s="134"/>
      <c r="BF219" s="89"/>
    </row>
    <row r="220" spans="1:61" s="123" customFormat="1" ht="34.5" customHeight="1">
      <c r="A220" s="142" t="s">
        <v>150</v>
      </c>
      <c r="B220" s="93" t="s">
        <v>95</v>
      </c>
      <c r="C220" s="121"/>
      <c r="D220" s="121"/>
      <c r="E220" s="121"/>
      <c r="F220" s="121"/>
      <c r="G220" s="121"/>
      <c r="H220" s="121"/>
      <c r="I220" s="17"/>
      <c r="J220" s="25">
        <f>+J221</f>
        <v>56167</v>
      </c>
      <c r="K220" s="25">
        <f t="shared" ref="K220:BD220" si="250">+K221</f>
        <v>56167</v>
      </c>
      <c r="L220" s="25">
        <f t="shared" si="250"/>
        <v>0</v>
      </c>
      <c r="M220" s="25">
        <f t="shared" si="250"/>
        <v>0</v>
      </c>
      <c r="N220" s="25">
        <f t="shared" si="250"/>
        <v>0</v>
      </c>
      <c r="O220" s="25">
        <f t="shared" si="250"/>
        <v>0</v>
      </c>
      <c r="P220" s="25">
        <f t="shared" si="250"/>
        <v>0</v>
      </c>
      <c r="Q220" s="25">
        <f t="shared" si="250"/>
        <v>0</v>
      </c>
      <c r="R220" s="25">
        <f t="shared" si="250"/>
        <v>26139</v>
      </c>
      <c r="S220" s="25">
        <f t="shared" si="250"/>
        <v>26139</v>
      </c>
      <c r="T220" s="25">
        <f t="shared" si="250"/>
        <v>0</v>
      </c>
      <c r="U220" s="25">
        <f t="shared" si="250"/>
        <v>0</v>
      </c>
      <c r="V220" s="25">
        <f t="shared" si="250"/>
        <v>0</v>
      </c>
      <c r="W220" s="25">
        <f t="shared" si="250"/>
        <v>0</v>
      </c>
      <c r="X220" s="25">
        <f t="shared" si="250"/>
        <v>0</v>
      </c>
      <c r="Y220" s="25">
        <f t="shared" si="250"/>
        <v>0</v>
      </c>
      <c r="Z220" s="25">
        <f t="shared" si="250"/>
        <v>0</v>
      </c>
      <c r="AA220" s="25">
        <f t="shared" si="250"/>
        <v>0</v>
      </c>
      <c r="AB220" s="25">
        <f t="shared" si="250"/>
        <v>0</v>
      </c>
      <c r="AC220" s="25">
        <f t="shared" si="250"/>
        <v>0</v>
      </c>
      <c r="AD220" s="25">
        <f t="shared" si="250"/>
        <v>0</v>
      </c>
      <c r="AE220" s="25">
        <f t="shared" si="250"/>
        <v>0</v>
      </c>
      <c r="AF220" s="25">
        <f t="shared" si="250"/>
        <v>0</v>
      </c>
      <c r="AG220" s="25">
        <f t="shared" si="250"/>
        <v>0</v>
      </c>
      <c r="AH220" s="25">
        <f t="shared" si="250"/>
        <v>0</v>
      </c>
      <c r="AI220" s="25">
        <f t="shared" si="250"/>
        <v>0</v>
      </c>
      <c r="AJ220" s="25">
        <f t="shared" si="250"/>
        <v>0</v>
      </c>
      <c r="AK220" s="25">
        <f t="shared" si="250"/>
        <v>0</v>
      </c>
      <c r="AL220" s="25">
        <f t="shared" si="250"/>
        <v>0</v>
      </c>
      <c r="AM220" s="25">
        <f t="shared" si="250"/>
        <v>0</v>
      </c>
      <c r="AN220" s="25">
        <f t="shared" si="250"/>
        <v>0</v>
      </c>
      <c r="AO220" s="25">
        <f t="shared" si="250"/>
        <v>0</v>
      </c>
      <c r="AP220" s="25">
        <f t="shared" si="250"/>
        <v>0</v>
      </c>
      <c r="AQ220" s="25">
        <f t="shared" si="250"/>
        <v>43178</v>
      </c>
      <c r="AR220" s="25">
        <f t="shared" si="250"/>
        <v>18837</v>
      </c>
      <c r="AS220" s="25">
        <f t="shared" si="250"/>
        <v>18837</v>
      </c>
      <c r="AT220" s="25">
        <f t="shared" si="250"/>
        <v>7302</v>
      </c>
      <c r="AU220" s="25">
        <f t="shared" si="250"/>
        <v>7302</v>
      </c>
      <c r="AV220" s="25">
        <f t="shared" si="250"/>
        <v>0</v>
      </c>
      <c r="AW220" s="25">
        <f t="shared" si="250"/>
        <v>0</v>
      </c>
      <c r="AX220" s="25">
        <f t="shared" si="250"/>
        <v>50480</v>
      </c>
      <c r="AY220" s="25">
        <f t="shared" si="250"/>
        <v>26139</v>
      </c>
      <c r="AZ220" s="25">
        <f t="shared" si="250"/>
        <v>26139</v>
      </c>
      <c r="BA220" s="25">
        <f t="shared" si="250"/>
        <v>5688</v>
      </c>
      <c r="BB220" s="25">
        <f t="shared" si="250"/>
        <v>5688</v>
      </c>
      <c r="BC220" s="25">
        <f t="shared" si="250"/>
        <v>0</v>
      </c>
      <c r="BD220" s="25">
        <f t="shared" si="250"/>
        <v>0</v>
      </c>
      <c r="BE220" s="159"/>
      <c r="BF220" s="125"/>
    </row>
    <row r="221" spans="1:61" s="146" customFormat="1" ht="76.7" customHeight="1">
      <c r="A221" s="135">
        <v>1</v>
      </c>
      <c r="B221" s="144" t="s">
        <v>412</v>
      </c>
      <c r="C221" s="99" t="s">
        <v>152</v>
      </c>
      <c r="D221" s="99"/>
      <c r="E221" s="99" t="s">
        <v>413</v>
      </c>
      <c r="F221" s="99"/>
      <c r="G221" s="99"/>
      <c r="H221" s="99"/>
      <c r="I221" s="15" t="s">
        <v>414</v>
      </c>
      <c r="J221" s="151">
        <v>56167</v>
      </c>
      <c r="K221" s="3">
        <v>56167</v>
      </c>
      <c r="L221" s="3"/>
      <c r="M221" s="3"/>
      <c r="N221" s="3"/>
      <c r="O221" s="3"/>
      <c r="P221" s="3"/>
      <c r="Q221" s="3"/>
      <c r="R221" s="3">
        <f>+S221</f>
        <v>26139</v>
      </c>
      <c r="S221" s="3">
        <v>26139</v>
      </c>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f>24341+AR221</f>
        <v>43178</v>
      </c>
      <c r="AR221" s="3">
        <f>+AS221</f>
        <v>18837</v>
      </c>
      <c r="AS221" s="3">
        <f>26139-3600-3702</f>
        <v>18837</v>
      </c>
      <c r="AT221" s="3">
        <f>+AU221</f>
        <v>7302</v>
      </c>
      <c r="AU221" s="3">
        <f>3600+3702</f>
        <v>7302</v>
      </c>
      <c r="AV221" s="3"/>
      <c r="AW221" s="3"/>
      <c r="AX221" s="3">
        <f>+AQ221+AU221</f>
        <v>50480</v>
      </c>
      <c r="AY221" s="3">
        <f>+AZ221</f>
        <v>26139</v>
      </c>
      <c r="AZ221" s="3">
        <f>+AS221+AU221</f>
        <v>26139</v>
      </c>
      <c r="BA221" s="3">
        <f>+BB221</f>
        <v>5688</v>
      </c>
      <c r="BB221" s="3">
        <v>5688</v>
      </c>
      <c r="BC221" s="3"/>
      <c r="BD221" s="3"/>
      <c r="BE221" s="145" t="s">
        <v>415</v>
      </c>
      <c r="BF221" s="57"/>
      <c r="BG221" s="146">
        <f>56167-24431</f>
        <v>31736</v>
      </c>
      <c r="BH221" s="146">
        <f>+BG221*90%</f>
        <v>28562.400000000001</v>
      </c>
      <c r="BI221" s="146">
        <f>+BH221-26139</f>
        <v>2423.4000000000015</v>
      </c>
    </row>
    <row r="222" spans="1:61" s="115" customFormat="1" ht="36.75" customHeight="1">
      <c r="A222" s="132" t="s">
        <v>137</v>
      </c>
      <c r="B222" s="127" t="s">
        <v>416</v>
      </c>
      <c r="C222" s="75"/>
      <c r="D222" s="75"/>
      <c r="E222" s="75"/>
      <c r="F222" s="75"/>
      <c r="G222" s="87"/>
      <c r="H222" s="87"/>
      <c r="I222" s="8"/>
      <c r="J222" s="4">
        <f t="shared" ref="J222:BD222" si="251">J223</f>
        <v>15600</v>
      </c>
      <c r="K222" s="4">
        <f t="shared" si="251"/>
        <v>15600</v>
      </c>
      <c r="L222" s="4">
        <f t="shared" si="251"/>
        <v>0</v>
      </c>
      <c r="M222" s="4">
        <f t="shared" si="251"/>
        <v>0</v>
      </c>
      <c r="N222" s="4">
        <f t="shared" si="251"/>
        <v>0</v>
      </c>
      <c r="O222" s="4">
        <f t="shared" si="251"/>
        <v>0</v>
      </c>
      <c r="P222" s="4">
        <f t="shared" si="251"/>
        <v>0</v>
      </c>
      <c r="Q222" s="4">
        <f t="shared" si="251"/>
        <v>0</v>
      </c>
      <c r="R222" s="4">
        <f t="shared" si="251"/>
        <v>15600</v>
      </c>
      <c r="S222" s="4">
        <f t="shared" si="251"/>
        <v>15600</v>
      </c>
      <c r="T222" s="4">
        <f t="shared" si="251"/>
        <v>0</v>
      </c>
      <c r="U222" s="4">
        <f t="shared" si="251"/>
        <v>0</v>
      </c>
      <c r="V222" s="4">
        <f t="shared" si="251"/>
        <v>0</v>
      </c>
      <c r="W222" s="4">
        <f t="shared" si="251"/>
        <v>0</v>
      </c>
      <c r="X222" s="4">
        <f t="shared" si="251"/>
        <v>0</v>
      </c>
      <c r="Y222" s="4">
        <f t="shared" si="251"/>
        <v>0</v>
      </c>
      <c r="Z222" s="4">
        <f t="shared" si="251"/>
        <v>0</v>
      </c>
      <c r="AA222" s="4">
        <f t="shared" si="251"/>
        <v>0</v>
      </c>
      <c r="AB222" s="4">
        <f t="shared" si="251"/>
        <v>0</v>
      </c>
      <c r="AC222" s="4">
        <f t="shared" si="251"/>
        <v>0</v>
      </c>
      <c r="AD222" s="4">
        <f t="shared" si="251"/>
        <v>0</v>
      </c>
      <c r="AE222" s="4">
        <f t="shared" si="251"/>
        <v>0</v>
      </c>
      <c r="AF222" s="4">
        <f t="shared" si="251"/>
        <v>0</v>
      </c>
      <c r="AG222" s="4">
        <f t="shared" si="251"/>
        <v>0</v>
      </c>
      <c r="AH222" s="4">
        <f t="shared" si="251"/>
        <v>0</v>
      </c>
      <c r="AI222" s="4">
        <f t="shared" si="251"/>
        <v>350</v>
      </c>
      <c r="AJ222" s="4">
        <f t="shared" si="251"/>
        <v>350</v>
      </c>
      <c r="AK222" s="4">
        <f t="shared" si="251"/>
        <v>0</v>
      </c>
      <c r="AL222" s="4">
        <f t="shared" si="251"/>
        <v>0</v>
      </c>
      <c r="AM222" s="4">
        <f t="shared" si="251"/>
        <v>350</v>
      </c>
      <c r="AN222" s="4">
        <f t="shared" si="251"/>
        <v>350</v>
      </c>
      <c r="AO222" s="4">
        <f t="shared" si="251"/>
        <v>0</v>
      </c>
      <c r="AP222" s="4">
        <f t="shared" si="251"/>
        <v>0</v>
      </c>
      <c r="AQ222" s="4">
        <f t="shared" si="251"/>
        <v>350</v>
      </c>
      <c r="AR222" s="4">
        <f t="shared" si="251"/>
        <v>350</v>
      </c>
      <c r="AS222" s="4">
        <f t="shared" si="251"/>
        <v>350</v>
      </c>
      <c r="AT222" s="4">
        <f t="shared" si="251"/>
        <v>5017</v>
      </c>
      <c r="AU222" s="4">
        <f t="shared" si="251"/>
        <v>5017</v>
      </c>
      <c r="AV222" s="4">
        <f t="shared" si="251"/>
        <v>0</v>
      </c>
      <c r="AW222" s="4">
        <f t="shared" si="251"/>
        <v>0</v>
      </c>
      <c r="AX222" s="4">
        <f t="shared" si="251"/>
        <v>5367</v>
      </c>
      <c r="AY222" s="4">
        <f t="shared" si="251"/>
        <v>5367</v>
      </c>
      <c r="AZ222" s="4">
        <f t="shared" si="251"/>
        <v>5367</v>
      </c>
      <c r="BA222" s="4">
        <f t="shared" si="251"/>
        <v>10233</v>
      </c>
      <c r="BB222" s="4">
        <f t="shared" si="251"/>
        <v>10233</v>
      </c>
      <c r="BC222" s="4">
        <f t="shared" si="251"/>
        <v>0</v>
      </c>
      <c r="BD222" s="4">
        <f t="shared" si="251"/>
        <v>0</v>
      </c>
      <c r="BE222" s="223"/>
      <c r="BF222" s="89"/>
    </row>
    <row r="223" spans="1:61" s="115" customFormat="1" ht="26.45" customHeight="1">
      <c r="A223" s="142" t="s">
        <v>150</v>
      </c>
      <c r="B223" s="93" t="s">
        <v>95</v>
      </c>
      <c r="C223" s="75"/>
      <c r="D223" s="75"/>
      <c r="E223" s="75"/>
      <c r="F223" s="75"/>
      <c r="G223" s="87"/>
      <c r="H223" s="87"/>
      <c r="I223" s="8"/>
      <c r="J223" s="4">
        <f>SUM(J224:J227)</f>
        <v>15600</v>
      </c>
      <c r="K223" s="4">
        <f t="shared" ref="K223:BB223" si="252">SUM(K224:K227)</f>
        <v>15600</v>
      </c>
      <c r="L223" s="4">
        <f t="shared" si="252"/>
        <v>0</v>
      </c>
      <c r="M223" s="4">
        <f t="shared" si="252"/>
        <v>0</v>
      </c>
      <c r="N223" s="4">
        <f t="shared" si="252"/>
        <v>0</v>
      </c>
      <c r="O223" s="4">
        <f t="shared" si="252"/>
        <v>0</v>
      </c>
      <c r="P223" s="4">
        <f t="shared" si="252"/>
        <v>0</v>
      </c>
      <c r="Q223" s="4">
        <f t="shared" si="252"/>
        <v>0</v>
      </c>
      <c r="R223" s="4">
        <f t="shared" si="252"/>
        <v>15600</v>
      </c>
      <c r="S223" s="4">
        <f t="shared" si="252"/>
        <v>15600</v>
      </c>
      <c r="T223" s="4">
        <f t="shared" si="252"/>
        <v>0</v>
      </c>
      <c r="U223" s="4">
        <f t="shared" si="252"/>
        <v>0</v>
      </c>
      <c r="V223" s="4">
        <f t="shared" si="252"/>
        <v>0</v>
      </c>
      <c r="W223" s="4">
        <f t="shared" si="252"/>
        <v>0</v>
      </c>
      <c r="X223" s="4">
        <f t="shared" si="252"/>
        <v>0</v>
      </c>
      <c r="Y223" s="4">
        <f t="shared" si="252"/>
        <v>0</v>
      </c>
      <c r="Z223" s="4">
        <f t="shared" si="252"/>
        <v>0</v>
      </c>
      <c r="AA223" s="4">
        <f t="shared" si="252"/>
        <v>0</v>
      </c>
      <c r="AB223" s="4">
        <f t="shared" si="252"/>
        <v>0</v>
      </c>
      <c r="AC223" s="4">
        <f t="shared" si="252"/>
        <v>0</v>
      </c>
      <c r="AD223" s="4">
        <f t="shared" si="252"/>
        <v>0</v>
      </c>
      <c r="AE223" s="4">
        <f t="shared" si="252"/>
        <v>0</v>
      </c>
      <c r="AF223" s="4">
        <f t="shared" si="252"/>
        <v>0</v>
      </c>
      <c r="AG223" s="4">
        <f t="shared" si="252"/>
        <v>0</v>
      </c>
      <c r="AH223" s="4">
        <f t="shared" si="252"/>
        <v>0</v>
      </c>
      <c r="AI223" s="4">
        <f t="shared" si="252"/>
        <v>350</v>
      </c>
      <c r="AJ223" s="4">
        <f t="shared" si="252"/>
        <v>350</v>
      </c>
      <c r="AK223" s="4">
        <f t="shared" si="252"/>
        <v>0</v>
      </c>
      <c r="AL223" s="4">
        <f t="shared" si="252"/>
        <v>0</v>
      </c>
      <c r="AM223" s="4">
        <f t="shared" si="252"/>
        <v>350</v>
      </c>
      <c r="AN223" s="4">
        <f t="shared" si="252"/>
        <v>350</v>
      </c>
      <c r="AO223" s="4">
        <f t="shared" si="252"/>
        <v>0</v>
      </c>
      <c r="AP223" s="4">
        <f t="shared" si="252"/>
        <v>0</v>
      </c>
      <c r="AQ223" s="4">
        <f t="shared" si="252"/>
        <v>350</v>
      </c>
      <c r="AR223" s="4">
        <f t="shared" si="252"/>
        <v>350</v>
      </c>
      <c r="AS223" s="4">
        <f t="shared" si="252"/>
        <v>350</v>
      </c>
      <c r="AT223" s="4">
        <f t="shared" si="252"/>
        <v>5017</v>
      </c>
      <c r="AU223" s="4">
        <f t="shared" si="252"/>
        <v>5017</v>
      </c>
      <c r="AV223" s="4">
        <f t="shared" si="252"/>
        <v>0</v>
      </c>
      <c r="AW223" s="4">
        <f t="shared" si="252"/>
        <v>0</v>
      </c>
      <c r="AX223" s="4">
        <f t="shared" si="252"/>
        <v>5367</v>
      </c>
      <c r="AY223" s="4">
        <f t="shared" si="252"/>
        <v>5367</v>
      </c>
      <c r="AZ223" s="4">
        <f t="shared" si="252"/>
        <v>5367</v>
      </c>
      <c r="BA223" s="4">
        <f t="shared" si="252"/>
        <v>10233</v>
      </c>
      <c r="BB223" s="4">
        <f t="shared" si="252"/>
        <v>10233</v>
      </c>
      <c r="BC223" s="4">
        <f>SUM(BC224:BC227)</f>
        <v>0</v>
      </c>
      <c r="BD223" s="4">
        <f t="shared" ref="BD223" si="253">SUM(BD224:BD227)</f>
        <v>0</v>
      </c>
      <c r="BE223" s="223"/>
      <c r="BF223" s="89"/>
    </row>
    <row r="224" spans="1:61" s="146" customFormat="1" ht="45.75" customHeight="1">
      <c r="A224" s="135">
        <v>1</v>
      </c>
      <c r="B224" s="136" t="s">
        <v>417</v>
      </c>
      <c r="C224" s="155" t="s">
        <v>418</v>
      </c>
      <c r="D224" s="155"/>
      <c r="E224" s="99" t="s">
        <v>419</v>
      </c>
      <c r="F224" s="155"/>
      <c r="G224" s="99"/>
      <c r="H224" s="99" t="s">
        <v>125</v>
      </c>
      <c r="I224" s="15" t="s">
        <v>420</v>
      </c>
      <c r="J224" s="3">
        <f>+K224</f>
        <v>3900</v>
      </c>
      <c r="K224" s="3">
        <v>3900</v>
      </c>
      <c r="L224" s="3"/>
      <c r="M224" s="3"/>
      <c r="N224" s="3"/>
      <c r="O224" s="3"/>
      <c r="P224" s="3">
        <f t="shared" ref="P224:Q224" si="254">L224+W224</f>
        <v>0</v>
      </c>
      <c r="Q224" s="3">
        <f t="shared" si="254"/>
        <v>0</v>
      </c>
      <c r="R224" s="16">
        <v>3900</v>
      </c>
      <c r="S224" s="16">
        <v>3900</v>
      </c>
      <c r="T224" s="3"/>
      <c r="U224" s="3"/>
      <c r="V224" s="3"/>
      <c r="W224" s="3"/>
      <c r="X224" s="3"/>
      <c r="Y224" s="3"/>
      <c r="Z224" s="3"/>
      <c r="AA224" s="16"/>
      <c r="AB224" s="16"/>
      <c r="AC224" s="3"/>
      <c r="AD224" s="3"/>
      <c r="AE224" s="3">
        <f>W224+AA224</f>
        <v>0</v>
      </c>
      <c r="AF224" s="3">
        <f>X224+AB224</f>
        <v>0</v>
      </c>
      <c r="AG224" s="3"/>
      <c r="AH224" s="3"/>
      <c r="AI224" s="3">
        <f t="shared" ref="AI224:AL232" si="255">AM224</f>
        <v>350</v>
      </c>
      <c r="AJ224" s="3">
        <f t="shared" si="255"/>
        <v>350</v>
      </c>
      <c r="AK224" s="3">
        <f t="shared" si="255"/>
        <v>0</v>
      </c>
      <c r="AL224" s="3">
        <f t="shared" si="255"/>
        <v>0</v>
      </c>
      <c r="AM224" s="39">
        <f>AN224</f>
        <v>350</v>
      </c>
      <c r="AN224" s="3">
        <v>350</v>
      </c>
      <c r="AO224" s="39"/>
      <c r="AP224" s="39"/>
      <c r="AQ224" s="12">
        <f>V224+AN224</f>
        <v>350</v>
      </c>
      <c r="AR224" s="12">
        <f t="shared" ref="AR224" si="256">AS224</f>
        <v>350</v>
      </c>
      <c r="AS224" s="12">
        <f t="shared" ref="AS224" si="257">AF224+AN224</f>
        <v>350</v>
      </c>
      <c r="AT224" s="12">
        <f t="shared" ref="AT224" si="258">AU224</f>
        <v>2500</v>
      </c>
      <c r="AU224" s="12">
        <v>2500</v>
      </c>
      <c r="AV224" s="40"/>
      <c r="AW224" s="40"/>
      <c r="AX224" s="3">
        <f t="shared" ref="AX224:AX225" si="259">AQ224+AU224</f>
        <v>2850</v>
      </c>
      <c r="AY224" s="3">
        <f t="shared" ref="AY224:AY225" si="260">AZ224</f>
        <v>2850</v>
      </c>
      <c r="AZ224" s="3">
        <f t="shared" ref="AZ224:AZ225" si="261">AS224+AU224</f>
        <v>2850</v>
      </c>
      <c r="BA224" s="3">
        <f t="shared" ref="BA224:BA225" si="262">BB224</f>
        <v>1050</v>
      </c>
      <c r="BB224" s="3">
        <f>S224-AZ224</f>
        <v>1050</v>
      </c>
      <c r="BC224" s="39"/>
      <c r="BD224" s="39"/>
      <c r="BE224" s="224" t="s">
        <v>156</v>
      </c>
      <c r="BF224" s="57"/>
    </row>
    <row r="225" spans="1:58" s="146" customFormat="1" ht="52.5" customHeight="1">
      <c r="A225" s="135">
        <v>2</v>
      </c>
      <c r="B225" s="158" t="s">
        <v>421</v>
      </c>
      <c r="C225" s="137" t="s">
        <v>422</v>
      </c>
      <c r="D225" s="137"/>
      <c r="E225" s="99" t="s">
        <v>153</v>
      </c>
      <c r="F225" s="137"/>
      <c r="G225" s="99"/>
      <c r="H225" s="99" t="s">
        <v>100</v>
      </c>
      <c r="I225" s="105" t="s">
        <v>423</v>
      </c>
      <c r="J225" s="151">
        <f>+K225</f>
        <v>3900</v>
      </c>
      <c r="K225" s="151">
        <v>3900</v>
      </c>
      <c r="L225" s="3"/>
      <c r="M225" s="3"/>
      <c r="N225" s="3"/>
      <c r="O225" s="3"/>
      <c r="P225" s="3"/>
      <c r="Q225" s="3"/>
      <c r="R225" s="16">
        <f>+S225</f>
        <v>3900</v>
      </c>
      <c r="S225" s="16">
        <v>3900</v>
      </c>
      <c r="T225" s="3"/>
      <c r="U225" s="3"/>
      <c r="V225" s="3"/>
      <c r="W225" s="3"/>
      <c r="X225" s="3"/>
      <c r="Y225" s="3"/>
      <c r="Z225" s="3"/>
      <c r="AA225" s="16"/>
      <c r="AB225" s="16"/>
      <c r="AC225" s="3"/>
      <c r="AD225" s="3"/>
      <c r="AE225" s="3"/>
      <c r="AF225" s="3"/>
      <c r="AG225" s="3"/>
      <c r="AH225" s="3"/>
      <c r="AI225" s="3"/>
      <c r="AJ225" s="3"/>
      <c r="AK225" s="3"/>
      <c r="AL225" s="3"/>
      <c r="AM225" s="39"/>
      <c r="AN225" s="3"/>
      <c r="AO225" s="39"/>
      <c r="AP225" s="39"/>
      <c r="AQ225" s="12"/>
      <c r="AR225" s="12"/>
      <c r="AS225" s="12"/>
      <c r="AT225" s="12">
        <f>+AU225</f>
        <v>2517</v>
      </c>
      <c r="AU225" s="12">
        <v>2517</v>
      </c>
      <c r="AV225" s="40"/>
      <c r="AW225" s="40"/>
      <c r="AX225" s="3">
        <f t="shared" si="259"/>
        <v>2517</v>
      </c>
      <c r="AY225" s="3">
        <f t="shared" si="260"/>
        <v>2517</v>
      </c>
      <c r="AZ225" s="3">
        <f t="shared" si="261"/>
        <v>2517</v>
      </c>
      <c r="BA225" s="3">
        <f t="shared" si="262"/>
        <v>1383</v>
      </c>
      <c r="BB225" s="3">
        <f>S225-AZ225</f>
        <v>1383</v>
      </c>
      <c r="BC225" s="39"/>
      <c r="BD225" s="39"/>
      <c r="BE225" s="224" t="s">
        <v>156</v>
      </c>
      <c r="BF225" s="57"/>
    </row>
    <row r="226" spans="1:58" s="146" customFormat="1" ht="39.75" customHeight="1">
      <c r="A226" s="135">
        <v>3</v>
      </c>
      <c r="B226" s="158" t="s">
        <v>424</v>
      </c>
      <c r="C226" s="137"/>
      <c r="D226" s="137"/>
      <c r="E226" s="99" t="s">
        <v>425</v>
      </c>
      <c r="F226" s="137"/>
      <c r="G226" s="99"/>
      <c r="H226" s="99" t="s">
        <v>121</v>
      </c>
      <c r="I226" s="105" t="s">
        <v>426</v>
      </c>
      <c r="J226" s="151">
        <f>+K226</f>
        <v>3900</v>
      </c>
      <c r="K226" s="151">
        <v>3900</v>
      </c>
      <c r="L226" s="3"/>
      <c r="M226" s="3"/>
      <c r="N226" s="3"/>
      <c r="O226" s="3"/>
      <c r="P226" s="3"/>
      <c r="Q226" s="3"/>
      <c r="R226" s="16">
        <f>+S226</f>
        <v>3900</v>
      </c>
      <c r="S226" s="16">
        <v>3900</v>
      </c>
      <c r="T226" s="3"/>
      <c r="U226" s="3"/>
      <c r="V226" s="3"/>
      <c r="W226" s="3"/>
      <c r="X226" s="3"/>
      <c r="Y226" s="3"/>
      <c r="Z226" s="3"/>
      <c r="AA226" s="16"/>
      <c r="AB226" s="16"/>
      <c r="AC226" s="3"/>
      <c r="AD226" s="3"/>
      <c r="AE226" s="3"/>
      <c r="AF226" s="3"/>
      <c r="AG226" s="3"/>
      <c r="AH226" s="3"/>
      <c r="AI226" s="3"/>
      <c r="AJ226" s="3"/>
      <c r="AK226" s="3"/>
      <c r="AL226" s="3"/>
      <c r="AM226" s="39"/>
      <c r="AN226" s="3"/>
      <c r="AO226" s="39"/>
      <c r="AP226" s="39"/>
      <c r="AQ226" s="12"/>
      <c r="AR226" s="12"/>
      <c r="AS226" s="12"/>
      <c r="AT226" s="12"/>
      <c r="AU226" s="12"/>
      <c r="AV226" s="40"/>
      <c r="AW226" s="40"/>
      <c r="AX226" s="39"/>
      <c r="AY226" s="39"/>
      <c r="AZ226" s="39"/>
      <c r="BA226" s="39">
        <f>+BB226</f>
        <v>3900</v>
      </c>
      <c r="BB226" s="39">
        <v>3900</v>
      </c>
      <c r="BC226" s="39"/>
      <c r="BD226" s="39"/>
      <c r="BE226" s="224" t="s">
        <v>142</v>
      </c>
      <c r="BF226" s="57"/>
    </row>
    <row r="227" spans="1:58" s="146" customFormat="1" ht="49.7" customHeight="1">
      <c r="A227" s="135">
        <v>4</v>
      </c>
      <c r="B227" s="158" t="s">
        <v>427</v>
      </c>
      <c r="C227" s="137"/>
      <c r="D227" s="137"/>
      <c r="E227" s="99" t="s">
        <v>428</v>
      </c>
      <c r="F227" s="137"/>
      <c r="G227" s="99"/>
      <c r="H227" s="99" t="s">
        <v>121</v>
      </c>
      <c r="I227" s="105" t="s">
        <v>429</v>
      </c>
      <c r="J227" s="151">
        <f>+K227</f>
        <v>3900</v>
      </c>
      <c r="K227" s="151">
        <v>3900</v>
      </c>
      <c r="L227" s="3"/>
      <c r="M227" s="3"/>
      <c r="N227" s="3"/>
      <c r="O227" s="3"/>
      <c r="P227" s="3"/>
      <c r="Q227" s="3"/>
      <c r="R227" s="16">
        <f>+S227</f>
        <v>3900</v>
      </c>
      <c r="S227" s="16">
        <v>3900</v>
      </c>
      <c r="T227" s="3"/>
      <c r="U227" s="3"/>
      <c r="V227" s="3"/>
      <c r="W227" s="3"/>
      <c r="X227" s="3"/>
      <c r="Y227" s="3"/>
      <c r="Z227" s="3"/>
      <c r="AA227" s="16"/>
      <c r="AB227" s="16"/>
      <c r="AC227" s="3"/>
      <c r="AD227" s="3"/>
      <c r="AE227" s="3"/>
      <c r="AF227" s="3"/>
      <c r="AG227" s="3"/>
      <c r="AH227" s="3"/>
      <c r="AI227" s="3"/>
      <c r="AJ227" s="3"/>
      <c r="AK227" s="3"/>
      <c r="AL227" s="3"/>
      <c r="AM227" s="39"/>
      <c r="AN227" s="3"/>
      <c r="AO227" s="39"/>
      <c r="AP227" s="39"/>
      <c r="AQ227" s="12"/>
      <c r="AR227" s="12"/>
      <c r="AS227" s="12"/>
      <c r="AT227" s="12"/>
      <c r="AU227" s="12"/>
      <c r="AV227" s="40"/>
      <c r="AW227" s="40"/>
      <c r="AX227" s="39"/>
      <c r="AY227" s="39"/>
      <c r="AZ227" s="39"/>
      <c r="BA227" s="39">
        <f>+BB227</f>
        <v>3900</v>
      </c>
      <c r="BB227" s="39">
        <v>3900</v>
      </c>
      <c r="BC227" s="39"/>
      <c r="BD227" s="39"/>
      <c r="BE227" s="224" t="s">
        <v>142</v>
      </c>
      <c r="BF227" s="57"/>
    </row>
    <row r="228" spans="1:58" s="89" customFormat="1" ht="25.5" customHeight="1">
      <c r="A228" s="85"/>
      <c r="B228" s="225" t="s">
        <v>430</v>
      </c>
      <c r="C228" s="87"/>
      <c r="D228" s="87"/>
      <c r="E228" s="87"/>
      <c r="F228" s="87"/>
      <c r="G228" s="87"/>
      <c r="H228" s="87"/>
      <c r="I228" s="8"/>
      <c r="J228" s="4"/>
      <c r="K228" s="4"/>
      <c r="L228" s="4"/>
      <c r="M228" s="4"/>
      <c r="N228" s="4"/>
      <c r="O228" s="4"/>
      <c r="P228" s="3">
        <f>L228+W228</f>
        <v>0</v>
      </c>
      <c r="Q228" s="3">
        <f>M228+X228</f>
        <v>0</v>
      </c>
      <c r="R228" s="4"/>
      <c r="S228" s="4"/>
      <c r="T228" s="4"/>
      <c r="U228" s="4"/>
      <c r="V228" s="4"/>
      <c r="W228" s="4"/>
      <c r="X228" s="4"/>
      <c r="Y228" s="4"/>
      <c r="Z228" s="4"/>
      <c r="AA228" s="4"/>
      <c r="AB228" s="4">
        <v>9010</v>
      </c>
      <c r="AC228" s="4"/>
      <c r="AD228" s="4"/>
      <c r="AE228" s="4"/>
      <c r="AF228" s="4"/>
      <c r="AG228" s="4"/>
      <c r="AH228" s="4"/>
      <c r="AI228" s="4"/>
      <c r="AJ228" s="4"/>
      <c r="AK228" s="4"/>
      <c r="AL228" s="4"/>
      <c r="AM228" s="4"/>
      <c r="AN228" s="4">
        <v>9010</v>
      </c>
      <c r="AO228" s="4"/>
      <c r="AP228" s="4"/>
      <c r="AQ228" s="22"/>
      <c r="AR228" s="22"/>
      <c r="AS228" s="22"/>
      <c r="AT228" s="22"/>
      <c r="AU228" s="22">
        <v>9010</v>
      </c>
      <c r="AV228" s="22"/>
      <c r="AW228" s="22"/>
      <c r="AX228" s="4"/>
      <c r="AY228" s="4"/>
      <c r="AZ228" s="4"/>
      <c r="BA228" s="4"/>
      <c r="BB228" s="4"/>
      <c r="BC228" s="4"/>
      <c r="BD228" s="4"/>
      <c r="BE228" s="37"/>
    </row>
    <row r="229" spans="1:58" s="115" customFormat="1" ht="33.6" customHeight="1">
      <c r="A229" s="126" t="s">
        <v>431</v>
      </c>
      <c r="B229" s="141" t="s">
        <v>432</v>
      </c>
      <c r="C229" s="87"/>
      <c r="D229" s="87"/>
      <c r="E229" s="87"/>
      <c r="F229" s="87"/>
      <c r="G229" s="92"/>
      <c r="H229" s="87"/>
      <c r="I229" s="8"/>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22"/>
      <c r="AR229" s="22"/>
      <c r="AS229" s="22"/>
      <c r="AT229" s="22"/>
      <c r="AU229" s="22"/>
      <c r="AV229" s="22"/>
      <c r="AW229" s="22"/>
      <c r="AX229" s="4"/>
      <c r="AY229" s="4"/>
      <c r="AZ229" s="4"/>
      <c r="BA229" s="4"/>
      <c r="BB229" s="4"/>
      <c r="BC229" s="4"/>
      <c r="BD229" s="4"/>
      <c r="BE229" s="134"/>
      <c r="BF229" s="89"/>
    </row>
    <row r="230" spans="1:58" s="115" customFormat="1" ht="24.75" hidden="1" customHeight="1">
      <c r="A230" s="85" t="s">
        <v>103</v>
      </c>
      <c r="B230" s="91" t="s">
        <v>433</v>
      </c>
      <c r="C230" s="87"/>
      <c r="D230" s="87"/>
      <c r="E230" s="87"/>
      <c r="F230" s="87"/>
      <c r="G230" s="87"/>
      <c r="H230" s="87"/>
      <c r="I230" s="8"/>
      <c r="J230" s="4">
        <f>J231</f>
        <v>26700</v>
      </c>
      <c r="K230" s="4">
        <f t="shared" ref="K230:AU231" si="263">K231</f>
        <v>26700</v>
      </c>
      <c r="L230" s="4">
        <f t="shared" si="263"/>
        <v>0</v>
      </c>
      <c r="M230" s="4">
        <f t="shared" si="263"/>
        <v>0</v>
      </c>
      <c r="N230" s="4">
        <f t="shared" si="263"/>
        <v>0</v>
      </c>
      <c r="O230" s="4">
        <f t="shared" si="263"/>
        <v>0</v>
      </c>
      <c r="P230" s="4">
        <f t="shared" si="263"/>
        <v>347</v>
      </c>
      <c r="Q230" s="4">
        <f t="shared" si="263"/>
        <v>347</v>
      </c>
      <c r="R230" s="4">
        <f t="shared" si="263"/>
        <v>24030</v>
      </c>
      <c r="S230" s="4">
        <f t="shared" si="263"/>
        <v>24030</v>
      </c>
      <c r="T230" s="4">
        <f t="shared" si="263"/>
        <v>0</v>
      </c>
      <c r="U230" s="4">
        <f t="shared" si="263"/>
        <v>0</v>
      </c>
      <c r="V230" s="4">
        <f t="shared" si="263"/>
        <v>6000</v>
      </c>
      <c r="W230" s="4">
        <f t="shared" si="263"/>
        <v>347</v>
      </c>
      <c r="X230" s="4">
        <f t="shared" si="263"/>
        <v>347</v>
      </c>
      <c r="Y230" s="4">
        <f t="shared" si="263"/>
        <v>0</v>
      </c>
      <c r="Z230" s="4">
        <f t="shared" si="263"/>
        <v>0</v>
      </c>
      <c r="AA230" s="4">
        <f t="shared" si="263"/>
        <v>6000</v>
      </c>
      <c r="AB230" s="4">
        <f t="shared" si="263"/>
        <v>6000</v>
      </c>
      <c r="AC230" s="4">
        <f t="shared" si="263"/>
        <v>0</v>
      </c>
      <c r="AD230" s="4">
        <f t="shared" si="263"/>
        <v>0</v>
      </c>
      <c r="AE230" s="4">
        <f t="shared" si="263"/>
        <v>6347</v>
      </c>
      <c r="AF230" s="4">
        <f t="shared" si="263"/>
        <v>6347</v>
      </c>
      <c r="AG230" s="4"/>
      <c r="AH230" s="4"/>
      <c r="AI230" s="4">
        <f t="shared" si="263"/>
        <v>7910</v>
      </c>
      <c r="AJ230" s="4">
        <f t="shared" si="263"/>
        <v>7910</v>
      </c>
      <c r="AK230" s="4">
        <f t="shared" si="263"/>
        <v>0</v>
      </c>
      <c r="AL230" s="4">
        <f t="shared" si="263"/>
        <v>0</v>
      </c>
      <c r="AM230" s="4">
        <f t="shared" si="263"/>
        <v>7910</v>
      </c>
      <c r="AN230" s="4">
        <f t="shared" si="263"/>
        <v>7910</v>
      </c>
      <c r="AO230" s="4">
        <f t="shared" si="263"/>
        <v>0</v>
      </c>
      <c r="AP230" s="4">
        <f t="shared" si="263"/>
        <v>0</v>
      </c>
      <c r="AQ230" s="22">
        <f t="shared" si="263"/>
        <v>13910</v>
      </c>
      <c r="AR230" s="22">
        <f t="shared" si="263"/>
        <v>14257</v>
      </c>
      <c r="AS230" s="22">
        <f t="shared" si="263"/>
        <v>14257</v>
      </c>
      <c r="AT230" s="22">
        <f t="shared" si="263"/>
        <v>9010</v>
      </c>
      <c r="AU230" s="22">
        <f t="shared" si="263"/>
        <v>9010</v>
      </c>
      <c r="AV230" s="22"/>
      <c r="AW230" s="22"/>
      <c r="AX230" s="4"/>
      <c r="AY230" s="4"/>
      <c r="AZ230" s="4"/>
      <c r="BA230" s="4"/>
      <c r="BB230" s="4"/>
      <c r="BC230" s="4"/>
      <c r="BD230" s="4"/>
      <c r="BE230" s="87"/>
      <c r="BF230" s="89"/>
    </row>
    <row r="231" spans="1:58" s="123" customFormat="1" ht="25.5" hidden="1" customHeight="1">
      <c r="A231" s="142"/>
      <c r="B231" s="93" t="s">
        <v>95</v>
      </c>
      <c r="C231" s="121"/>
      <c r="D231" s="121"/>
      <c r="E231" s="121"/>
      <c r="F231" s="121"/>
      <c r="G231" s="121"/>
      <c r="H231" s="121"/>
      <c r="I231" s="17"/>
      <c r="J231" s="18">
        <f t="shared" ref="J231:Z231" si="264">J232</f>
        <v>26700</v>
      </c>
      <c r="K231" s="18">
        <f t="shared" si="264"/>
        <v>26700</v>
      </c>
      <c r="L231" s="18">
        <f t="shared" si="264"/>
        <v>0</v>
      </c>
      <c r="M231" s="18">
        <f t="shared" si="264"/>
        <v>0</v>
      </c>
      <c r="N231" s="18">
        <f t="shared" si="264"/>
        <v>0</v>
      </c>
      <c r="O231" s="18">
        <f t="shared" si="264"/>
        <v>0</v>
      </c>
      <c r="P231" s="18">
        <f t="shared" si="264"/>
        <v>347</v>
      </c>
      <c r="Q231" s="18">
        <f t="shared" si="264"/>
        <v>347</v>
      </c>
      <c r="R231" s="18">
        <f t="shared" si="264"/>
        <v>24030</v>
      </c>
      <c r="S231" s="18">
        <f t="shared" si="264"/>
        <v>24030</v>
      </c>
      <c r="T231" s="18">
        <f t="shared" si="264"/>
        <v>0</v>
      </c>
      <c r="U231" s="18">
        <f t="shared" si="264"/>
        <v>0</v>
      </c>
      <c r="V231" s="18">
        <f t="shared" si="264"/>
        <v>6000</v>
      </c>
      <c r="W231" s="18">
        <f t="shared" si="264"/>
        <v>347</v>
      </c>
      <c r="X231" s="18">
        <f t="shared" si="264"/>
        <v>347</v>
      </c>
      <c r="Y231" s="18">
        <f t="shared" si="264"/>
        <v>0</v>
      </c>
      <c r="Z231" s="18">
        <f t="shared" si="264"/>
        <v>0</v>
      </c>
      <c r="AA231" s="18">
        <f>AA232</f>
        <v>6000</v>
      </c>
      <c r="AB231" s="18">
        <f>AB232</f>
        <v>6000</v>
      </c>
      <c r="AC231" s="18"/>
      <c r="AD231" s="18"/>
      <c r="AE231" s="4">
        <f>W231+AA231</f>
        <v>6347</v>
      </c>
      <c r="AF231" s="4">
        <f>X231+AB231</f>
        <v>6347</v>
      </c>
      <c r="AG231" s="4"/>
      <c r="AH231" s="4"/>
      <c r="AI231" s="4">
        <f t="shared" si="255"/>
        <v>7910</v>
      </c>
      <c r="AJ231" s="4">
        <f t="shared" si="255"/>
        <v>7910</v>
      </c>
      <c r="AK231" s="4">
        <f t="shared" si="255"/>
        <v>0</v>
      </c>
      <c r="AL231" s="4">
        <f t="shared" si="255"/>
        <v>0</v>
      </c>
      <c r="AM231" s="18">
        <f t="shared" si="263"/>
        <v>7910</v>
      </c>
      <c r="AN231" s="18">
        <f t="shared" si="263"/>
        <v>7910</v>
      </c>
      <c r="AO231" s="18">
        <f t="shared" si="263"/>
        <v>0</v>
      </c>
      <c r="AP231" s="18">
        <f t="shared" si="263"/>
        <v>0</v>
      </c>
      <c r="AQ231" s="20">
        <f t="shared" si="263"/>
        <v>13910</v>
      </c>
      <c r="AR231" s="20">
        <f t="shared" si="263"/>
        <v>14257</v>
      </c>
      <c r="AS231" s="20">
        <f t="shared" si="263"/>
        <v>14257</v>
      </c>
      <c r="AT231" s="20">
        <f t="shared" si="263"/>
        <v>9010</v>
      </c>
      <c r="AU231" s="20">
        <f t="shared" si="263"/>
        <v>9010</v>
      </c>
      <c r="AV231" s="20"/>
      <c r="AW231" s="20"/>
      <c r="AX231" s="18"/>
      <c r="AY231" s="18"/>
      <c r="AZ231" s="18"/>
      <c r="BA231" s="18"/>
      <c r="BB231" s="18"/>
      <c r="BC231" s="18"/>
      <c r="BD231" s="18"/>
      <c r="BE231" s="121"/>
      <c r="BF231" s="125"/>
    </row>
    <row r="232" spans="1:58" s="64" customFormat="1" ht="39.200000000000003" hidden="1" customHeight="1">
      <c r="A232" s="135">
        <v>1</v>
      </c>
      <c r="B232" s="226" t="s">
        <v>434</v>
      </c>
      <c r="C232" s="99" t="s">
        <v>435</v>
      </c>
      <c r="D232" s="99"/>
      <c r="E232" s="99" t="s">
        <v>436</v>
      </c>
      <c r="F232" s="99"/>
      <c r="G232" s="105" t="s">
        <v>200</v>
      </c>
      <c r="H232" s="149"/>
      <c r="I232" s="15" t="s">
        <v>437</v>
      </c>
      <c r="J232" s="3">
        <v>26700</v>
      </c>
      <c r="K232" s="3">
        <v>26700</v>
      </c>
      <c r="L232" s="3"/>
      <c r="M232" s="3"/>
      <c r="N232" s="3"/>
      <c r="O232" s="3"/>
      <c r="P232" s="3">
        <f>L232+W232</f>
        <v>347</v>
      </c>
      <c r="Q232" s="3">
        <f>M232+X232</f>
        <v>347</v>
      </c>
      <c r="R232" s="3">
        <v>24030</v>
      </c>
      <c r="S232" s="3">
        <v>24030</v>
      </c>
      <c r="T232" s="3">
        <v>0</v>
      </c>
      <c r="U232" s="3"/>
      <c r="V232" s="3">
        <v>6000</v>
      </c>
      <c r="W232" s="3">
        <v>347</v>
      </c>
      <c r="X232" s="3">
        <v>347</v>
      </c>
      <c r="Y232" s="3"/>
      <c r="Z232" s="3"/>
      <c r="AA232" s="3">
        <v>6000</v>
      </c>
      <c r="AB232" s="3">
        <v>6000</v>
      </c>
      <c r="AC232" s="3"/>
      <c r="AD232" s="3"/>
      <c r="AE232" s="3">
        <f>W232+AA232</f>
        <v>6347</v>
      </c>
      <c r="AF232" s="3">
        <f>X232+AB232</f>
        <v>6347</v>
      </c>
      <c r="AG232" s="3"/>
      <c r="AH232" s="3"/>
      <c r="AI232" s="3">
        <f t="shared" si="255"/>
        <v>7910</v>
      </c>
      <c r="AJ232" s="3">
        <f t="shared" si="255"/>
        <v>7910</v>
      </c>
      <c r="AK232" s="3">
        <f t="shared" si="255"/>
        <v>0</v>
      </c>
      <c r="AL232" s="3">
        <f t="shared" si="255"/>
        <v>0</v>
      </c>
      <c r="AM232" s="3">
        <f>AN232</f>
        <v>7910</v>
      </c>
      <c r="AN232" s="3">
        <v>7910</v>
      </c>
      <c r="AO232" s="3"/>
      <c r="AP232" s="3"/>
      <c r="AQ232" s="12">
        <f>V232+AN232</f>
        <v>13910</v>
      </c>
      <c r="AR232" s="12">
        <f t="shared" ref="AR232" si="265">AS232</f>
        <v>14257</v>
      </c>
      <c r="AS232" s="12">
        <f t="shared" ref="AS232" si="266">AF232+AN232</f>
        <v>14257</v>
      </c>
      <c r="AT232" s="12">
        <f t="shared" ref="AT232" si="267">AU232</f>
        <v>9010</v>
      </c>
      <c r="AU232" s="12">
        <v>9010</v>
      </c>
      <c r="AV232" s="12"/>
      <c r="AW232" s="12"/>
      <c r="AX232" s="3"/>
      <c r="AY232" s="3"/>
      <c r="AZ232" s="3"/>
      <c r="BA232" s="3"/>
      <c r="BB232" s="3"/>
      <c r="BC232" s="3"/>
      <c r="BD232" s="3"/>
      <c r="BE232" s="99"/>
      <c r="BF232" s="111"/>
    </row>
    <row r="233" spans="1:58" s="115" customFormat="1" ht="33.6" customHeight="1">
      <c r="A233" s="126"/>
      <c r="B233" s="127" t="s">
        <v>90</v>
      </c>
      <c r="C233" s="133"/>
      <c r="D233" s="133"/>
      <c r="E233" s="133"/>
      <c r="F233" s="133"/>
      <c r="G233" s="87"/>
      <c r="H233" s="87"/>
      <c r="I233" s="8"/>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v>14205</v>
      </c>
      <c r="AO233" s="4">
        <f>AN233-AN234</f>
        <v>14205</v>
      </c>
      <c r="AP233" s="4"/>
      <c r="AQ233" s="22"/>
      <c r="AR233" s="22"/>
      <c r="AS233" s="22"/>
      <c r="AT233" s="22"/>
      <c r="AU233" s="22">
        <v>19071</v>
      </c>
      <c r="AV233" s="22"/>
      <c r="AW233" s="22"/>
      <c r="AX233" s="4"/>
      <c r="AY233" s="4"/>
      <c r="AZ233" s="4"/>
      <c r="BA233" s="4"/>
      <c r="BB233" s="4"/>
      <c r="BC233" s="4"/>
      <c r="BD233" s="4"/>
      <c r="BE233" s="87"/>
      <c r="BF233" s="89"/>
    </row>
    <row r="234" spans="1:58" s="115" customFormat="1" ht="38.25" customHeight="1">
      <c r="A234" s="126" t="s">
        <v>438</v>
      </c>
      <c r="B234" s="227" t="s">
        <v>439</v>
      </c>
      <c r="C234" s="87"/>
      <c r="D234" s="87"/>
      <c r="E234" s="87"/>
      <c r="F234" s="87"/>
      <c r="G234" s="92"/>
      <c r="H234" s="87"/>
      <c r="I234" s="8"/>
      <c r="J234" s="4">
        <f>+J237</f>
        <v>20820</v>
      </c>
      <c r="K234" s="4">
        <f t="shared" ref="K234:BD234" si="268">+K237</f>
        <v>20820</v>
      </c>
      <c r="L234" s="4">
        <f t="shared" si="268"/>
        <v>0</v>
      </c>
      <c r="M234" s="4">
        <f t="shared" si="268"/>
        <v>0</v>
      </c>
      <c r="N234" s="4">
        <f t="shared" si="268"/>
        <v>0</v>
      </c>
      <c r="O234" s="4">
        <f t="shared" si="268"/>
        <v>0</v>
      </c>
      <c r="P234" s="4">
        <f t="shared" si="268"/>
        <v>0</v>
      </c>
      <c r="Q234" s="4">
        <f t="shared" si="268"/>
        <v>0</v>
      </c>
      <c r="R234" s="4">
        <f t="shared" si="268"/>
        <v>22100</v>
      </c>
      <c r="S234" s="4">
        <f t="shared" si="268"/>
        <v>22100</v>
      </c>
      <c r="T234" s="4">
        <f t="shared" si="268"/>
        <v>0</v>
      </c>
      <c r="U234" s="4">
        <f t="shared" si="268"/>
        <v>0</v>
      </c>
      <c r="V234" s="4">
        <f t="shared" si="268"/>
        <v>0</v>
      </c>
      <c r="W234" s="4">
        <f t="shared" si="268"/>
        <v>0</v>
      </c>
      <c r="X234" s="4">
        <f t="shared" si="268"/>
        <v>0</v>
      </c>
      <c r="Y234" s="4">
        <f t="shared" si="268"/>
        <v>0</v>
      </c>
      <c r="Z234" s="4">
        <f t="shared" si="268"/>
        <v>0</v>
      </c>
      <c r="AA234" s="4">
        <f t="shared" si="268"/>
        <v>0</v>
      </c>
      <c r="AB234" s="4">
        <f t="shared" si="268"/>
        <v>0</v>
      </c>
      <c r="AC234" s="4">
        <f t="shared" si="268"/>
        <v>0</v>
      </c>
      <c r="AD234" s="4">
        <f t="shared" si="268"/>
        <v>0</v>
      </c>
      <c r="AE234" s="4">
        <f t="shared" si="268"/>
        <v>0</v>
      </c>
      <c r="AF234" s="4">
        <f t="shared" si="268"/>
        <v>0</v>
      </c>
      <c r="AG234" s="4">
        <f t="shared" si="268"/>
        <v>0</v>
      </c>
      <c r="AH234" s="4">
        <f t="shared" si="268"/>
        <v>0</v>
      </c>
      <c r="AI234" s="4">
        <f t="shared" si="268"/>
        <v>0</v>
      </c>
      <c r="AJ234" s="4">
        <f t="shared" si="268"/>
        <v>0</v>
      </c>
      <c r="AK234" s="4">
        <f t="shared" si="268"/>
        <v>0</v>
      </c>
      <c r="AL234" s="4">
        <f t="shared" si="268"/>
        <v>0</v>
      </c>
      <c r="AM234" s="4">
        <f t="shared" si="268"/>
        <v>0</v>
      </c>
      <c r="AN234" s="4">
        <f t="shared" si="268"/>
        <v>0</v>
      </c>
      <c r="AO234" s="4">
        <f t="shared" si="268"/>
        <v>0</v>
      </c>
      <c r="AP234" s="4">
        <f t="shared" si="268"/>
        <v>0</v>
      </c>
      <c r="AQ234" s="4">
        <f t="shared" si="268"/>
        <v>0</v>
      </c>
      <c r="AR234" s="4">
        <f t="shared" si="268"/>
        <v>4700</v>
      </c>
      <c r="AS234" s="4">
        <f t="shared" si="268"/>
        <v>4700</v>
      </c>
      <c r="AT234" s="4">
        <f t="shared" si="268"/>
        <v>10636</v>
      </c>
      <c r="AU234" s="4">
        <f t="shared" si="268"/>
        <v>10636</v>
      </c>
      <c r="AV234" s="4">
        <f t="shared" si="268"/>
        <v>0</v>
      </c>
      <c r="AW234" s="4">
        <f t="shared" si="268"/>
        <v>0</v>
      </c>
      <c r="AX234" s="4">
        <f t="shared" si="268"/>
        <v>9700</v>
      </c>
      <c r="AY234" s="4">
        <f t="shared" si="268"/>
        <v>14400</v>
      </c>
      <c r="AZ234" s="4">
        <f t="shared" si="268"/>
        <v>13200</v>
      </c>
      <c r="BA234" s="4">
        <f t="shared" si="268"/>
        <v>4764</v>
      </c>
      <c r="BB234" s="4">
        <f t="shared" si="268"/>
        <v>4764</v>
      </c>
      <c r="BC234" s="4">
        <f t="shared" si="268"/>
        <v>0</v>
      </c>
      <c r="BD234" s="4">
        <f t="shared" si="268"/>
        <v>0</v>
      </c>
      <c r="BE234" s="75"/>
      <c r="BF234" s="89"/>
    </row>
    <row r="235" spans="1:58" s="123" customFormat="1" ht="14.1" hidden="1" customHeight="1">
      <c r="A235" s="94" t="s">
        <v>44</v>
      </c>
      <c r="B235" s="91" t="s">
        <v>73</v>
      </c>
      <c r="C235" s="121"/>
      <c r="D235" s="121"/>
      <c r="E235" s="121"/>
      <c r="F235" s="121"/>
      <c r="G235" s="121" t="e">
        <f>#REF!</f>
        <v>#REF!</v>
      </c>
      <c r="H235" s="121"/>
      <c r="I235" s="17"/>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121" t="s">
        <v>54</v>
      </c>
      <c r="BF235" s="125"/>
    </row>
    <row r="236" spans="1:58" s="146" customFormat="1" ht="14.1" hidden="1" customHeight="1">
      <c r="A236" s="147">
        <v>1</v>
      </c>
      <c r="B236" s="152" t="s">
        <v>440</v>
      </c>
      <c r="C236" s="72"/>
      <c r="D236" s="72"/>
      <c r="E236" s="72"/>
      <c r="F236" s="72"/>
      <c r="G236" s="72"/>
      <c r="H236" s="72"/>
      <c r="I236" s="2"/>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99"/>
      <c r="BF236" s="57"/>
    </row>
    <row r="237" spans="1:58" s="115" customFormat="1" ht="33" customHeight="1">
      <c r="A237" s="85" t="s">
        <v>92</v>
      </c>
      <c r="B237" s="91" t="s">
        <v>160</v>
      </c>
      <c r="C237" s="75"/>
      <c r="D237" s="75"/>
      <c r="E237" s="75"/>
      <c r="F237" s="75"/>
      <c r="G237" s="75"/>
      <c r="H237" s="75"/>
      <c r="I237" s="5"/>
      <c r="J237" s="4">
        <f>SUM(J239:J244)</f>
        <v>20820</v>
      </c>
      <c r="K237" s="4">
        <f t="shared" ref="K237:BD237" si="269">SUM(K239:K244)</f>
        <v>20820</v>
      </c>
      <c r="L237" s="4">
        <f t="shared" si="269"/>
        <v>0</v>
      </c>
      <c r="M237" s="4">
        <f t="shared" si="269"/>
        <v>0</v>
      </c>
      <c r="N237" s="4">
        <f t="shared" si="269"/>
        <v>0</v>
      </c>
      <c r="O237" s="4">
        <f t="shared" si="269"/>
        <v>0</v>
      </c>
      <c r="P237" s="4">
        <f t="shared" si="269"/>
        <v>0</v>
      </c>
      <c r="Q237" s="4">
        <f t="shared" si="269"/>
        <v>0</v>
      </c>
      <c r="R237" s="4">
        <f t="shared" si="269"/>
        <v>22100</v>
      </c>
      <c r="S237" s="4">
        <f t="shared" si="269"/>
        <v>22100</v>
      </c>
      <c r="T237" s="4">
        <f t="shared" si="269"/>
        <v>0</v>
      </c>
      <c r="U237" s="4">
        <f t="shared" si="269"/>
        <v>0</v>
      </c>
      <c r="V237" s="4">
        <f t="shared" si="269"/>
        <v>0</v>
      </c>
      <c r="W237" s="4">
        <f t="shared" si="269"/>
        <v>0</v>
      </c>
      <c r="X237" s="4">
        <f t="shared" si="269"/>
        <v>0</v>
      </c>
      <c r="Y237" s="4">
        <f t="shared" si="269"/>
        <v>0</v>
      </c>
      <c r="Z237" s="4">
        <f t="shared" si="269"/>
        <v>0</v>
      </c>
      <c r="AA237" s="4">
        <f t="shared" si="269"/>
        <v>0</v>
      </c>
      <c r="AB237" s="4">
        <f t="shared" si="269"/>
        <v>0</v>
      </c>
      <c r="AC237" s="4">
        <f t="shared" si="269"/>
        <v>0</v>
      </c>
      <c r="AD237" s="4">
        <f t="shared" si="269"/>
        <v>0</v>
      </c>
      <c r="AE237" s="4">
        <f t="shared" si="269"/>
        <v>0</v>
      </c>
      <c r="AF237" s="4">
        <f t="shared" si="269"/>
        <v>0</v>
      </c>
      <c r="AG237" s="4">
        <f t="shared" si="269"/>
        <v>0</v>
      </c>
      <c r="AH237" s="4">
        <f t="shared" si="269"/>
        <v>0</v>
      </c>
      <c r="AI237" s="4">
        <f t="shared" si="269"/>
        <v>0</v>
      </c>
      <c r="AJ237" s="4">
        <f t="shared" si="269"/>
        <v>0</v>
      </c>
      <c r="AK237" s="4">
        <f t="shared" si="269"/>
        <v>0</v>
      </c>
      <c r="AL237" s="4">
        <f t="shared" si="269"/>
        <v>0</v>
      </c>
      <c r="AM237" s="4">
        <f t="shared" si="269"/>
        <v>0</v>
      </c>
      <c r="AN237" s="4">
        <f t="shared" si="269"/>
        <v>0</v>
      </c>
      <c r="AO237" s="4">
        <f t="shared" si="269"/>
        <v>0</v>
      </c>
      <c r="AP237" s="4">
        <f t="shared" si="269"/>
        <v>0</v>
      </c>
      <c r="AQ237" s="4">
        <f t="shared" si="269"/>
        <v>0</v>
      </c>
      <c r="AR237" s="4">
        <f t="shared" si="269"/>
        <v>4700</v>
      </c>
      <c r="AS237" s="4">
        <f t="shared" si="269"/>
        <v>4700</v>
      </c>
      <c r="AT237" s="4">
        <f t="shared" si="269"/>
        <v>10636</v>
      </c>
      <c r="AU237" s="4">
        <f t="shared" si="269"/>
        <v>10636</v>
      </c>
      <c r="AV237" s="4">
        <f t="shared" si="269"/>
        <v>0</v>
      </c>
      <c r="AW237" s="4">
        <f t="shared" si="269"/>
        <v>0</v>
      </c>
      <c r="AX237" s="4">
        <f t="shared" si="269"/>
        <v>9700</v>
      </c>
      <c r="AY237" s="4">
        <f t="shared" si="269"/>
        <v>14400</v>
      </c>
      <c r="AZ237" s="4">
        <f t="shared" si="269"/>
        <v>13200</v>
      </c>
      <c r="BA237" s="4">
        <f t="shared" si="269"/>
        <v>4764</v>
      </c>
      <c r="BB237" s="4">
        <f>SUM(BB239:BB244)</f>
        <v>4764</v>
      </c>
      <c r="BC237" s="4">
        <f t="shared" si="269"/>
        <v>0</v>
      </c>
      <c r="BD237" s="4">
        <f t="shared" si="269"/>
        <v>0</v>
      </c>
      <c r="BE237" s="87"/>
      <c r="BF237" s="89"/>
    </row>
    <row r="238" spans="1:58" s="123" customFormat="1" ht="33" customHeight="1">
      <c r="A238" s="142" t="s">
        <v>150</v>
      </c>
      <c r="B238" s="93" t="s">
        <v>95</v>
      </c>
      <c r="C238" s="119"/>
      <c r="D238" s="119"/>
      <c r="E238" s="119"/>
      <c r="F238" s="119"/>
      <c r="G238" s="119"/>
      <c r="H238" s="119"/>
      <c r="I238" s="41"/>
      <c r="J238" s="18"/>
      <c r="K238" s="18"/>
      <c r="L238" s="18"/>
      <c r="M238" s="18"/>
      <c r="N238" s="18"/>
      <c r="O238" s="18"/>
      <c r="P238" s="18"/>
      <c r="Q238" s="18"/>
      <c r="R238" s="18">
        <f t="shared" ref="R238:R245" si="270">S238</f>
        <v>0</v>
      </c>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20"/>
      <c r="AR238" s="20"/>
      <c r="AS238" s="20"/>
      <c r="AT238" s="20">
        <f t="shared" ref="AT238:AT240" si="271">AU238</f>
        <v>0</v>
      </c>
      <c r="AU238" s="20"/>
      <c r="AV238" s="20"/>
      <c r="AW238" s="20"/>
      <c r="AX238" s="18"/>
      <c r="AY238" s="18"/>
      <c r="AZ238" s="18"/>
      <c r="BA238" s="18"/>
      <c r="BB238" s="18"/>
      <c r="BC238" s="18"/>
      <c r="BD238" s="18"/>
      <c r="BE238" s="121"/>
      <c r="BF238" s="125"/>
    </row>
    <row r="239" spans="1:58" s="146" customFormat="1" ht="39.6" customHeight="1">
      <c r="A239" s="135">
        <v>1</v>
      </c>
      <c r="B239" s="42" t="s">
        <v>441</v>
      </c>
      <c r="C239" s="147"/>
      <c r="D239" s="147"/>
      <c r="E239" s="147" t="s">
        <v>442</v>
      </c>
      <c r="F239" s="147"/>
      <c r="G239" s="72"/>
      <c r="H239" s="99"/>
      <c r="I239" s="147" t="s">
        <v>443</v>
      </c>
      <c r="J239" s="228">
        <v>6800</v>
      </c>
      <c r="K239" s="228">
        <v>6800</v>
      </c>
      <c r="L239" s="228"/>
      <c r="M239" s="228"/>
      <c r="N239" s="228"/>
      <c r="O239" s="228"/>
      <c r="P239" s="228"/>
      <c r="Q239" s="228"/>
      <c r="R239" s="228">
        <f t="shared" si="270"/>
        <v>6800</v>
      </c>
      <c r="S239" s="228">
        <v>6800</v>
      </c>
      <c r="T239" s="228"/>
      <c r="U239" s="228"/>
      <c r="V239" s="228"/>
      <c r="W239" s="228"/>
      <c r="X239" s="228"/>
      <c r="Y239" s="228"/>
      <c r="Z239" s="228"/>
      <c r="AA239" s="228"/>
      <c r="AB239" s="228"/>
      <c r="AC239" s="228"/>
      <c r="AD239" s="228"/>
      <c r="AE239" s="228"/>
      <c r="AF239" s="228"/>
      <c r="AG239" s="228"/>
      <c r="AH239" s="228"/>
      <c r="AI239" s="228"/>
      <c r="AJ239" s="228"/>
      <c r="AK239" s="228"/>
      <c r="AL239" s="228"/>
      <c r="AM239" s="228"/>
      <c r="AN239" s="228"/>
      <c r="AO239" s="228"/>
      <c r="AP239" s="228"/>
      <c r="AQ239" s="229"/>
      <c r="AR239" s="229">
        <f>AS239</f>
        <v>3000</v>
      </c>
      <c r="AS239" s="229">
        <v>3000</v>
      </c>
      <c r="AT239" s="229">
        <f t="shared" si="271"/>
        <v>3500</v>
      </c>
      <c r="AU239" s="229">
        <v>3500</v>
      </c>
      <c r="AV239" s="229"/>
      <c r="AW239" s="12"/>
      <c r="AX239" s="3">
        <f t="shared" ref="AX239:AX240" si="272">AQ239+AU239</f>
        <v>3500</v>
      </c>
      <c r="AY239" s="3">
        <f t="shared" ref="AY239:AY240" si="273">AZ239</f>
        <v>6500</v>
      </c>
      <c r="AZ239" s="3">
        <f t="shared" ref="AZ239:AZ240" si="274">AS239+AU239</f>
        <v>6500</v>
      </c>
      <c r="BA239" s="3">
        <f t="shared" ref="BA239:BA240" si="275">BB239</f>
        <v>300</v>
      </c>
      <c r="BB239" s="3">
        <f>S239-AZ239</f>
        <v>300</v>
      </c>
      <c r="BC239" s="3"/>
      <c r="BD239" s="3"/>
      <c r="BE239" s="145"/>
      <c r="BF239" s="57"/>
    </row>
    <row r="240" spans="1:58" s="146" customFormat="1" ht="40.700000000000003" customHeight="1">
      <c r="A240" s="135">
        <v>2</v>
      </c>
      <c r="B240" s="42" t="s">
        <v>444</v>
      </c>
      <c r="C240" s="147"/>
      <c r="D240" s="147"/>
      <c r="E240" s="147" t="s">
        <v>442</v>
      </c>
      <c r="F240" s="147"/>
      <c r="G240" s="72"/>
      <c r="H240" s="99"/>
      <c r="I240" s="147" t="s">
        <v>443</v>
      </c>
      <c r="J240" s="228">
        <v>5000</v>
      </c>
      <c r="K240" s="228">
        <v>5000</v>
      </c>
      <c r="L240" s="228"/>
      <c r="M240" s="228"/>
      <c r="N240" s="228"/>
      <c r="O240" s="228"/>
      <c r="P240" s="228"/>
      <c r="Q240" s="228"/>
      <c r="R240" s="228">
        <f t="shared" si="270"/>
        <v>5000</v>
      </c>
      <c r="S240" s="228">
        <v>5000</v>
      </c>
      <c r="T240" s="228"/>
      <c r="U240" s="228"/>
      <c r="V240" s="228"/>
      <c r="W240" s="228"/>
      <c r="X240" s="228"/>
      <c r="Y240" s="228"/>
      <c r="Z240" s="228"/>
      <c r="AA240" s="228"/>
      <c r="AB240" s="228"/>
      <c r="AC240" s="228"/>
      <c r="AD240" s="228"/>
      <c r="AE240" s="228"/>
      <c r="AF240" s="228"/>
      <c r="AG240" s="228"/>
      <c r="AH240" s="228"/>
      <c r="AI240" s="228"/>
      <c r="AJ240" s="228"/>
      <c r="AK240" s="228"/>
      <c r="AL240" s="228"/>
      <c r="AM240" s="228"/>
      <c r="AN240" s="228"/>
      <c r="AO240" s="228"/>
      <c r="AP240" s="228"/>
      <c r="AQ240" s="229"/>
      <c r="AR240" s="229">
        <f>AS240</f>
        <v>1700</v>
      </c>
      <c r="AS240" s="229">
        <v>1700</v>
      </c>
      <c r="AT240" s="229">
        <f t="shared" si="271"/>
        <v>3000</v>
      </c>
      <c r="AU240" s="229">
        <v>3000</v>
      </c>
      <c r="AV240" s="229"/>
      <c r="AW240" s="12"/>
      <c r="AX240" s="3">
        <f t="shared" si="272"/>
        <v>3000</v>
      </c>
      <c r="AY240" s="3">
        <f t="shared" si="273"/>
        <v>4700</v>
      </c>
      <c r="AZ240" s="3">
        <f t="shared" si="274"/>
        <v>4700</v>
      </c>
      <c r="BA240" s="3">
        <f t="shared" si="275"/>
        <v>300</v>
      </c>
      <c r="BB240" s="3">
        <f>S240-AZ240</f>
        <v>300</v>
      </c>
      <c r="BC240" s="3"/>
      <c r="BD240" s="3"/>
      <c r="BE240" s="145"/>
      <c r="BF240" s="57"/>
    </row>
    <row r="241" spans="1:58" s="146" customFormat="1" ht="32.25" customHeight="1">
      <c r="A241" s="135">
        <v>3</v>
      </c>
      <c r="B241" s="207" t="s">
        <v>445</v>
      </c>
      <c r="C241" s="137"/>
      <c r="D241" s="137"/>
      <c r="E241" s="147" t="s">
        <v>442</v>
      </c>
      <c r="F241" s="137"/>
      <c r="G241" s="72"/>
      <c r="H241" s="147"/>
      <c r="I241" s="2"/>
      <c r="J241" s="3"/>
      <c r="K241" s="3"/>
      <c r="L241" s="3"/>
      <c r="M241" s="3"/>
      <c r="N241" s="3"/>
      <c r="O241" s="3"/>
      <c r="P241" s="3"/>
      <c r="Q241" s="3"/>
      <c r="R241" s="3">
        <f>S241</f>
        <v>2200</v>
      </c>
      <c r="S241" s="3">
        <v>2200</v>
      </c>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f>+AU241</f>
        <v>1200</v>
      </c>
      <c r="AU241" s="3">
        <v>1200</v>
      </c>
      <c r="AV241" s="3"/>
      <c r="AW241" s="3"/>
      <c r="AX241" s="3">
        <f>+AY241</f>
        <v>1200</v>
      </c>
      <c r="AY241" s="3">
        <v>1200</v>
      </c>
      <c r="AZ241" s="3"/>
      <c r="BA241" s="3">
        <f t="shared" ref="BA241:BA245" si="276">+BB241</f>
        <v>1000</v>
      </c>
      <c r="BB241" s="3">
        <v>1000</v>
      </c>
      <c r="BC241" s="3"/>
      <c r="BD241" s="3"/>
      <c r="BE241" s="99" t="s">
        <v>446</v>
      </c>
    </row>
    <row r="242" spans="1:58" s="146" customFormat="1" ht="36.75" customHeight="1">
      <c r="A242" s="135">
        <v>4</v>
      </c>
      <c r="B242" s="207" t="s">
        <v>447</v>
      </c>
      <c r="C242" s="72"/>
      <c r="D242" s="72"/>
      <c r="E242" s="147" t="s">
        <v>442</v>
      </c>
      <c r="F242" s="72"/>
      <c r="G242" s="72"/>
      <c r="H242" s="99"/>
      <c r="I242" s="230" t="s">
        <v>448</v>
      </c>
      <c r="J242" s="16">
        <f>+K242</f>
        <v>2000</v>
      </c>
      <c r="K242" s="16">
        <v>2000</v>
      </c>
      <c r="L242" s="16"/>
      <c r="M242" s="16"/>
      <c r="N242" s="16"/>
      <c r="O242" s="16"/>
      <c r="P242" s="16"/>
      <c r="Q242" s="16"/>
      <c r="R242" s="16">
        <f t="shared" si="270"/>
        <v>2000</v>
      </c>
      <c r="S242" s="16">
        <v>2000</v>
      </c>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f>+AU242</f>
        <v>1200</v>
      </c>
      <c r="AU242" s="16">
        <v>1200</v>
      </c>
      <c r="AV242" s="16"/>
      <c r="AW242" s="16"/>
      <c r="AX242" s="3"/>
      <c r="AY242" s="3"/>
      <c r="AZ242" s="3"/>
      <c r="BA242" s="3">
        <f t="shared" si="276"/>
        <v>800</v>
      </c>
      <c r="BB242" s="3">
        <v>800</v>
      </c>
      <c r="BC242" s="16"/>
      <c r="BD242" s="16"/>
      <c r="BE242" s="145" t="s">
        <v>446</v>
      </c>
    </row>
    <row r="243" spans="1:58" s="146" customFormat="1" ht="46.5" customHeight="1">
      <c r="A243" s="135">
        <v>5</v>
      </c>
      <c r="B243" s="207" t="s">
        <v>449</v>
      </c>
      <c r="C243" s="137"/>
      <c r="D243" s="137"/>
      <c r="E243" s="147" t="s">
        <v>442</v>
      </c>
      <c r="F243" s="137"/>
      <c r="G243" s="72"/>
      <c r="H243" s="147"/>
      <c r="I243" s="230" t="s">
        <v>450</v>
      </c>
      <c r="J243" s="3">
        <f>+K243</f>
        <v>2020</v>
      </c>
      <c r="K243" s="3">
        <v>2020</v>
      </c>
      <c r="L243" s="3"/>
      <c r="M243" s="3"/>
      <c r="N243" s="3"/>
      <c r="O243" s="3"/>
      <c r="P243" s="3"/>
      <c r="Q243" s="3"/>
      <c r="R243" s="3">
        <f>S243</f>
        <v>2100</v>
      </c>
      <c r="S243" s="3">
        <v>2100</v>
      </c>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f>+AU243</f>
        <v>1736</v>
      </c>
      <c r="AU243" s="3">
        <v>1736</v>
      </c>
      <c r="AV243" s="3"/>
      <c r="AW243" s="3"/>
      <c r="AX243" s="3"/>
      <c r="AY243" s="3"/>
      <c r="AZ243" s="3"/>
      <c r="BA243" s="3">
        <f t="shared" si="276"/>
        <v>364</v>
      </c>
      <c r="BB243" s="3">
        <f>+S243-AU243</f>
        <v>364</v>
      </c>
      <c r="BC243" s="3"/>
      <c r="BD243" s="3"/>
      <c r="BE243" s="145" t="s">
        <v>451</v>
      </c>
    </row>
    <row r="244" spans="1:58" s="146" customFormat="1" ht="36.75" customHeight="1">
      <c r="A244" s="135">
        <v>6</v>
      </c>
      <c r="B244" s="231" t="s">
        <v>452</v>
      </c>
      <c r="C244" s="72"/>
      <c r="D244" s="72"/>
      <c r="E244" s="147" t="s">
        <v>442</v>
      </c>
      <c r="F244" s="72"/>
      <c r="G244" s="72"/>
      <c r="H244" s="99"/>
      <c r="I244" s="232" t="s">
        <v>453</v>
      </c>
      <c r="J244" s="173">
        <f>+K244</f>
        <v>5000</v>
      </c>
      <c r="K244" s="173">
        <v>5000</v>
      </c>
      <c r="L244" s="16"/>
      <c r="M244" s="16"/>
      <c r="N244" s="16"/>
      <c r="O244" s="16"/>
      <c r="P244" s="16"/>
      <c r="Q244" s="16"/>
      <c r="R244" s="16">
        <f t="shared" si="270"/>
        <v>4000</v>
      </c>
      <c r="S244" s="16">
        <v>4000</v>
      </c>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3">
        <v>2000</v>
      </c>
      <c r="AY244" s="3">
        <f>+AZ244</f>
        <v>2000</v>
      </c>
      <c r="AZ244" s="3">
        <v>2000</v>
      </c>
      <c r="BA244" s="3">
        <f t="shared" si="276"/>
        <v>2000</v>
      </c>
      <c r="BB244" s="3">
        <v>2000</v>
      </c>
      <c r="BC244" s="16"/>
      <c r="BD244" s="16"/>
      <c r="BE244" s="145"/>
    </row>
    <row r="245" spans="1:58" s="146" customFormat="1" ht="36.75" hidden="1" customHeight="1">
      <c r="A245" s="186" t="s">
        <v>454</v>
      </c>
      <c r="B245" s="233" t="s">
        <v>455</v>
      </c>
      <c r="C245" s="72"/>
      <c r="D245" s="72"/>
      <c r="E245" s="72"/>
      <c r="F245" s="72"/>
      <c r="G245" s="72"/>
      <c r="H245" s="99"/>
      <c r="I245" s="230" t="s">
        <v>456</v>
      </c>
      <c r="J245" s="16">
        <f>+K245</f>
        <v>2500</v>
      </c>
      <c r="K245" s="16">
        <v>2500</v>
      </c>
      <c r="L245" s="16"/>
      <c r="M245" s="16"/>
      <c r="N245" s="16"/>
      <c r="O245" s="16"/>
      <c r="P245" s="16"/>
      <c r="Q245" s="16"/>
      <c r="R245" s="16">
        <f t="shared" si="270"/>
        <v>2000</v>
      </c>
      <c r="S245" s="16">
        <v>2000</v>
      </c>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3"/>
      <c r="AY245" s="3"/>
      <c r="AZ245" s="3"/>
      <c r="BA245" s="3">
        <f t="shared" si="276"/>
        <v>0</v>
      </c>
      <c r="BB245" s="3"/>
      <c r="BC245" s="16"/>
      <c r="BD245" s="16"/>
      <c r="BE245" s="145"/>
    </row>
    <row r="246" spans="1:58" s="89" customFormat="1" ht="33.75" customHeight="1">
      <c r="A246" s="142"/>
      <c r="B246" s="86" t="s">
        <v>90</v>
      </c>
      <c r="C246" s="87"/>
      <c r="D246" s="87"/>
      <c r="E246" s="87"/>
      <c r="F246" s="87"/>
      <c r="G246" s="87"/>
      <c r="H246" s="87"/>
      <c r="I246" s="8"/>
      <c r="J246" s="4"/>
      <c r="K246" s="4"/>
      <c r="L246" s="4"/>
      <c r="M246" s="4"/>
      <c r="N246" s="4"/>
      <c r="O246" s="4"/>
      <c r="P246" s="3"/>
      <c r="Q246" s="3"/>
      <c r="R246" s="4"/>
      <c r="S246" s="4"/>
      <c r="T246" s="4"/>
      <c r="U246" s="4"/>
      <c r="V246" s="4"/>
      <c r="W246" s="4"/>
      <c r="X246" s="4"/>
      <c r="Y246" s="4"/>
      <c r="Z246" s="4"/>
      <c r="AA246" s="4"/>
      <c r="AB246" s="4"/>
      <c r="AC246" s="4"/>
      <c r="AD246" s="4"/>
      <c r="AE246" s="4"/>
      <c r="AF246" s="4"/>
      <c r="AG246" s="4"/>
      <c r="AH246" s="4"/>
      <c r="AI246" s="4"/>
      <c r="AJ246" s="4"/>
      <c r="AK246" s="4"/>
      <c r="AL246" s="4"/>
      <c r="AM246" s="234"/>
      <c r="AN246" s="4">
        <v>151866.20000000001</v>
      </c>
      <c r="AO246" s="4"/>
      <c r="AP246" s="4"/>
      <c r="AQ246" s="22"/>
      <c r="AR246" s="22"/>
      <c r="AS246" s="22"/>
      <c r="AT246" s="22"/>
      <c r="AU246" s="22">
        <v>101946</v>
      </c>
      <c r="AV246" s="22"/>
      <c r="AW246" s="22"/>
      <c r="AX246" s="4"/>
      <c r="AY246" s="4"/>
      <c r="AZ246" s="4"/>
      <c r="BA246" s="4"/>
      <c r="BB246" s="4"/>
      <c r="BC246" s="4"/>
      <c r="BD246" s="4"/>
      <c r="BE246" s="37"/>
    </row>
    <row r="247" spans="1:58" s="115" customFormat="1" ht="33.75" customHeight="1">
      <c r="A247" s="126" t="s">
        <v>457</v>
      </c>
      <c r="B247" s="91" t="s">
        <v>458</v>
      </c>
      <c r="C247" s="87"/>
      <c r="D247" s="87"/>
      <c r="E247" s="87"/>
      <c r="F247" s="87"/>
      <c r="G247" s="92"/>
      <c r="H247" s="87"/>
      <c r="I247" s="8"/>
      <c r="J247" s="4">
        <f t="shared" ref="J247:BD247" si="277">J248+J252+J265+J278</f>
        <v>1572666</v>
      </c>
      <c r="K247" s="4">
        <f t="shared" si="277"/>
        <v>523902</v>
      </c>
      <c r="L247" s="4">
        <f t="shared" si="277"/>
        <v>60797</v>
      </c>
      <c r="M247" s="4">
        <f t="shared" si="277"/>
        <v>13850</v>
      </c>
      <c r="N247" s="4">
        <f t="shared" si="277"/>
        <v>60797</v>
      </c>
      <c r="O247" s="4">
        <f t="shared" si="277"/>
        <v>38850</v>
      </c>
      <c r="P247" s="4">
        <f t="shared" si="277"/>
        <v>118575</v>
      </c>
      <c r="Q247" s="4">
        <f t="shared" si="277"/>
        <v>51628</v>
      </c>
      <c r="R247" s="4">
        <f t="shared" si="277"/>
        <v>532778.5</v>
      </c>
      <c r="S247" s="4">
        <f t="shared" si="277"/>
        <v>325309</v>
      </c>
      <c r="T247" s="4">
        <f t="shared" si="277"/>
        <v>0</v>
      </c>
      <c r="U247" s="4">
        <f t="shared" si="277"/>
        <v>1850</v>
      </c>
      <c r="V247" s="4">
        <f t="shared" si="277"/>
        <v>170775</v>
      </c>
      <c r="W247" s="4">
        <f t="shared" si="277"/>
        <v>57778</v>
      </c>
      <c r="X247" s="4">
        <f t="shared" si="277"/>
        <v>37778</v>
      </c>
      <c r="Y247" s="4">
        <f t="shared" si="277"/>
        <v>0</v>
      </c>
      <c r="Z247" s="4">
        <f t="shared" si="277"/>
        <v>1850</v>
      </c>
      <c r="AA247" s="4">
        <f t="shared" si="277"/>
        <v>51200</v>
      </c>
      <c r="AB247" s="4">
        <f t="shared" si="277"/>
        <v>37200</v>
      </c>
      <c r="AC247" s="4">
        <f t="shared" si="277"/>
        <v>1000</v>
      </c>
      <c r="AD247" s="4">
        <f t="shared" si="277"/>
        <v>0</v>
      </c>
      <c r="AE247" s="4">
        <f t="shared" si="277"/>
        <v>108978</v>
      </c>
      <c r="AF247" s="4">
        <f t="shared" si="277"/>
        <v>74978</v>
      </c>
      <c r="AG247" s="4">
        <f t="shared" si="277"/>
        <v>0</v>
      </c>
      <c r="AH247" s="4">
        <f t="shared" si="277"/>
        <v>0</v>
      </c>
      <c r="AI247" s="4">
        <f t="shared" si="277"/>
        <v>56000</v>
      </c>
      <c r="AJ247" s="4">
        <f t="shared" si="277"/>
        <v>29000</v>
      </c>
      <c r="AK247" s="4">
        <f t="shared" si="277"/>
        <v>0</v>
      </c>
      <c r="AL247" s="4">
        <f t="shared" si="277"/>
        <v>0</v>
      </c>
      <c r="AM247" s="4">
        <f t="shared" si="277"/>
        <v>59143</v>
      </c>
      <c r="AN247" s="4">
        <f t="shared" si="277"/>
        <v>32143</v>
      </c>
      <c r="AO247" s="4">
        <f t="shared" si="277"/>
        <v>0</v>
      </c>
      <c r="AP247" s="4">
        <f t="shared" si="277"/>
        <v>0</v>
      </c>
      <c r="AQ247" s="4">
        <f t="shared" si="277"/>
        <v>232189</v>
      </c>
      <c r="AR247" s="4">
        <f t="shared" si="277"/>
        <v>206892</v>
      </c>
      <c r="AS247" s="4">
        <f t="shared" si="277"/>
        <v>131392</v>
      </c>
      <c r="AT247" s="4">
        <f t="shared" si="277"/>
        <v>112692</v>
      </c>
      <c r="AU247" s="4">
        <f t="shared" si="277"/>
        <v>76482</v>
      </c>
      <c r="AV247" s="4">
        <f t="shared" si="277"/>
        <v>0</v>
      </c>
      <c r="AW247" s="4">
        <f t="shared" si="277"/>
        <v>0</v>
      </c>
      <c r="AX247" s="4">
        <f t="shared" si="277"/>
        <v>323056</v>
      </c>
      <c r="AY247" s="4">
        <f t="shared" si="277"/>
        <v>222259</v>
      </c>
      <c r="AZ247" s="4">
        <f t="shared" si="277"/>
        <v>222259</v>
      </c>
      <c r="BA247" s="4">
        <f t="shared" si="277"/>
        <v>106322</v>
      </c>
      <c r="BB247" s="4">
        <f t="shared" si="277"/>
        <v>71222</v>
      </c>
      <c r="BC247" s="4">
        <f t="shared" si="277"/>
        <v>0</v>
      </c>
      <c r="BD247" s="4">
        <f t="shared" si="277"/>
        <v>0</v>
      </c>
      <c r="BE247" s="88"/>
      <c r="BF247" s="89"/>
    </row>
    <row r="248" spans="1:58" s="115" customFormat="1" ht="33.75" customHeight="1">
      <c r="A248" s="85" t="s">
        <v>92</v>
      </c>
      <c r="B248" s="91" t="s">
        <v>93</v>
      </c>
      <c r="C248" s="87"/>
      <c r="D248" s="87"/>
      <c r="E248" s="87"/>
      <c r="F248" s="87"/>
      <c r="G248" s="92"/>
      <c r="H248" s="87"/>
      <c r="I248" s="8"/>
      <c r="J248" s="4">
        <f>+J249+J250+J251</f>
        <v>117315</v>
      </c>
      <c r="K248" s="4">
        <f t="shared" ref="K248:BA248" si="278">+K249+K250+K251</f>
        <v>73694</v>
      </c>
      <c r="L248" s="4">
        <f t="shared" si="278"/>
        <v>0</v>
      </c>
      <c r="M248" s="4">
        <f t="shared" si="278"/>
        <v>0</v>
      </c>
      <c r="N248" s="4">
        <f t="shared" si="278"/>
        <v>0</v>
      </c>
      <c r="O248" s="4">
        <f t="shared" si="278"/>
        <v>0</v>
      </c>
      <c r="P248" s="4">
        <f t="shared" si="278"/>
        <v>0</v>
      </c>
      <c r="Q248" s="4">
        <f t="shared" si="278"/>
        <v>0</v>
      </c>
      <c r="R248" s="4">
        <f t="shared" si="278"/>
        <v>110483.5</v>
      </c>
      <c r="S248" s="4">
        <f t="shared" si="278"/>
        <v>71225</v>
      </c>
      <c r="T248" s="4">
        <f t="shared" si="278"/>
        <v>0</v>
      </c>
      <c r="U248" s="4">
        <f t="shared" si="278"/>
        <v>0</v>
      </c>
      <c r="V248" s="4">
        <f t="shared" si="278"/>
        <v>12000</v>
      </c>
      <c r="W248" s="4">
        <f t="shared" si="278"/>
        <v>0</v>
      </c>
      <c r="X248" s="4">
        <f t="shared" si="278"/>
        <v>0</v>
      </c>
      <c r="Y248" s="4">
        <f t="shared" si="278"/>
        <v>0</v>
      </c>
      <c r="Z248" s="4">
        <f t="shared" si="278"/>
        <v>0</v>
      </c>
      <c r="AA248" s="4">
        <f t="shared" si="278"/>
        <v>12000</v>
      </c>
      <c r="AB248" s="4">
        <f t="shared" si="278"/>
        <v>12000</v>
      </c>
      <c r="AC248" s="4">
        <f t="shared" si="278"/>
        <v>1000</v>
      </c>
      <c r="AD248" s="4">
        <f t="shared" si="278"/>
        <v>0</v>
      </c>
      <c r="AE248" s="4">
        <f t="shared" si="278"/>
        <v>12000</v>
      </c>
      <c r="AF248" s="4">
        <f t="shared" si="278"/>
        <v>12000</v>
      </c>
      <c r="AG248" s="4">
        <f t="shared" si="278"/>
        <v>0</v>
      </c>
      <c r="AH248" s="4">
        <f t="shared" si="278"/>
        <v>0</v>
      </c>
      <c r="AI248" s="4">
        <f t="shared" si="278"/>
        <v>15000</v>
      </c>
      <c r="AJ248" s="4">
        <f t="shared" si="278"/>
        <v>2000</v>
      </c>
      <c r="AK248" s="4">
        <f t="shared" si="278"/>
        <v>0</v>
      </c>
      <c r="AL248" s="4">
        <f t="shared" si="278"/>
        <v>0</v>
      </c>
      <c r="AM248" s="4">
        <f t="shared" si="278"/>
        <v>15000</v>
      </c>
      <c r="AN248" s="4">
        <f t="shared" si="278"/>
        <v>2000</v>
      </c>
      <c r="AO248" s="4">
        <f t="shared" si="278"/>
        <v>0</v>
      </c>
      <c r="AP248" s="4">
        <f t="shared" si="278"/>
        <v>0</v>
      </c>
      <c r="AQ248" s="4">
        <f t="shared" si="278"/>
        <v>32000</v>
      </c>
      <c r="AR248" s="4">
        <f t="shared" si="278"/>
        <v>45000</v>
      </c>
      <c r="AS248" s="4">
        <f t="shared" si="278"/>
        <v>32000</v>
      </c>
      <c r="AT248" s="4">
        <f t="shared" si="278"/>
        <v>20430</v>
      </c>
      <c r="AU248" s="4">
        <f t="shared" si="278"/>
        <v>2800</v>
      </c>
      <c r="AV248" s="4">
        <f t="shared" si="278"/>
        <v>0</v>
      </c>
      <c r="AW248" s="4">
        <f t="shared" si="278"/>
        <v>0</v>
      </c>
      <c r="AX248" s="4">
        <f t="shared" si="278"/>
        <v>48300</v>
      </c>
      <c r="AY248" s="4">
        <f t="shared" si="278"/>
        <v>48300</v>
      </c>
      <c r="AZ248" s="4">
        <f t="shared" si="278"/>
        <v>48300</v>
      </c>
      <c r="BA248" s="4">
        <f t="shared" si="278"/>
        <v>6566</v>
      </c>
      <c r="BB248" s="4">
        <f>+BB249+BB250+BB251</f>
        <v>6566</v>
      </c>
      <c r="BC248" s="4"/>
      <c r="BD248" s="4"/>
      <c r="BE248" s="88"/>
      <c r="BF248" s="89"/>
    </row>
    <row r="249" spans="1:58" ht="65.25" customHeight="1">
      <c r="A249" s="135">
        <v>1</v>
      </c>
      <c r="B249" s="136" t="s">
        <v>459</v>
      </c>
      <c r="C249" s="99" t="s">
        <v>435</v>
      </c>
      <c r="D249" s="99"/>
      <c r="E249" s="99" t="s">
        <v>460</v>
      </c>
      <c r="F249" s="99"/>
      <c r="G249" s="235"/>
      <c r="H249" s="99" t="s">
        <v>200</v>
      </c>
      <c r="I249" s="15" t="s">
        <v>461</v>
      </c>
      <c r="J249" s="3">
        <v>62315</v>
      </c>
      <c r="K249" s="3">
        <v>18694</v>
      </c>
      <c r="L249" s="3"/>
      <c r="M249" s="3"/>
      <c r="N249" s="3"/>
      <c r="O249" s="3"/>
      <c r="P249" s="3">
        <f>L249+W249</f>
        <v>0</v>
      </c>
      <c r="Q249" s="3">
        <f>M249+X249</f>
        <v>0</v>
      </c>
      <c r="R249" s="3">
        <f>56083.5+1400</f>
        <v>57483.5</v>
      </c>
      <c r="S249" s="3">
        <v>18225</v>
      </c>
      <c r="T249" s="3"/>
      <c r="U249" s="3"/>
      <c r="V249" s="3">
        <v>12000</v>
      </c>
      <c r="W249" s="3"/>
      <c r="X249" s="3"/>
      <c r="Y249" s="3"/>
      <c r="Z249" s="3"/>
      <c r="AA249" s="3">
        <v>12000</v>
      </c>
      <c r="AB249" s="3">
        <v>12000</v>
      </c>
      <c r="AC249" s="3">
        <v>1000</v>
      </c>
      <c r="AD249" s="3"/>
      <c r="AE249" s="3">
        <f t="shared" ref="AE249:AF249" si="279">W249+AA249</f>
        <v>12000</v>
      </c>
      <c r="AF249" s="3">
        <f t="shared" si="279"/>
        <v>12000</v>
      </c>
      <c r="AG249" s="3"/>
      <c r="AH249" s="3"/>
      <c r="AI249" s="3">
        <f t="shared" ref="AI249:AL249" si="280">AM249</f>
        <v>15000</v>
      </c>
      <c r="AJ249" s="3">
        <f t="shared" si="280"/>
        <v>2000</v>
      </c>
      <c r="AK249" s="3">
        <f t="shared" si="280"/>
        <v>0</v>
      </c>
      <c r="AL249" s="3">
        <f t="shared" si="280"/>
        <v>0</v>
      </c>
      <c r="AM249" s="3">
        <f>AN249+13000</f>
        <v>15000</v>
      </c>
      <c r="AN249" s="3">
        <v>2000</v>
      </c>
      <c r="AO249" s="3"/>
      <c r="AP249" s="3"/>
      <c r="AQ249" s="12">
        <f>V249+AN249</f>
        <v>14000</v>
      </c>
      <c r="AR249" s="12">
        <f t="shared" ref="AR249:AS249" si="281">AE249+AM249</f>
        <v>27000</v>
      </c>
      <c r="AS249" s="12">
        <f t="shared" si="281"/>
        <v>14000</v>
      </c>
      <c r="AT249" s="12">
        <f>AU249+17630</f>
        <v>20430</v>
      </c>
      <c r="AU249" s="12">
        <v>2800</v>
      </c>
      <c r="AV249" s="12"/>
      <c r="AW249" s="12"/>
      <c r="AX249" s="3">
        <f t="shared" ref="AX249" si="282">AQ249+AU249</f>
        <v>16800</v>
      </c>
      <c r="AY249" s="3">
        <f t="shared" ref="AY249" si="283">AZ249</f>
        <v>16800</v>
      </c>
      <c r="AZ249" s="3">
        <f t="shared" ref="AZ249" si="284">AS249+AU249</f>
        <v>16800</v>
      </c>
      <c r="BA249" s="3">
        <f t="shared" ref="BA249" si="285">BB249</f>
        <v>1400</v>
      </c>
      <c r="BB249" s="3">
        <v>1400</v>
      </c>
      <c r="BC249" s="3"/>
      <c r="BD249" s="3"/>
      <c r="BE249" s="145"/>
    </row>
    <row r="250" spans="1:58" s="115" customFormat="1" ht="54.75" customHeight="1">
      <c r="A250" s="155">
        <v>2</v>
      </c>
      <c r="B250" s="236" t="s">
        <v>462</v>
      </c>
      <c r="C250" s="87"/>
      <c r="D250" s="87"/>
      <c r="E250" s="87"/>
      <c r="F250" s="87"/>
      <c r="G250" s="92"/>
      <c r="H250" s="87"/>
      <c r="I250" s="237" t="s">
        <v>463</v>
      </c>
      <c r="J250" s="151">
        <v>35000</v>
      </c>
      <c r="K250" s="151">
        <v>35000</v>
      </c>
      <c r="L250" s="4"/>
      <c r="M250" s="4"/>
      <c r="N250" s="4"/>
      <c r="O250" s="4"/>
      <c r="P250" s="4"/>
      <c r="Q250" s="4"/>
      <c r="R250" s="3">
        <f>+S250</f>
        <v>35000</v>
      </c>
      <c r="S250" s="3">
        <v>35000</v>
      </c>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f>+AY250</f>
        <v>31500</v>
      </c>
      <c r="AY250" s="3">
        <f>+AZ250</f>
        <v>31500</v>
      </c>
      <c r="AZ250" s="3">
        <f>35000-3500</f>
        <v>31500</v>
      </c>
      <c r="BA250" s="3">
        <f>+BB250</f>
        <v>3500</v>
      </c>
      <c r="BB250" s="3">
        <v>3500</v>
      </c>
      <c r="BC250" s="3"/>
      <c r="BD250" s="3"/>
      <c r="BE250" s="72" t="s">
        <v>118</v>
      </c>
      <c r="BF250" s="89"/>
    </row>
    <row r="251" spans="1:58" s="115" customFormat="1" ht="66.75" customHeight="1">
      <c r="A251" s="155">
        <v>3</v>
      </c>
      <c r="B251" s="238" t="s">
        <v>464</v>
      </c>
      <c r="C251" s="87"/>
      <c r="D251" s="87"/>
      <c r="E251" s="87"/>
      <c r="F251" s="87"/>
      <c r="G251" s="92"/>
      <c r="H251" s="87"/>
      <c r="I251" s="217" t="s">
        <v>465</v>
      </c>
      <c r="J251" s="151">
        <v>20000</v>
      </c>
      <c r="K251" s="151">
        <v>20000</v>
      </c>
      <c r="L251" s="4"/>
      <c r="M251" s="4"/>
      <c r="N251" s="4"/>
      <c r="O251" s="4"/>
      <c r="P251" s="4"/>
      <c r="Q251" s="4"/>
      <c r="R251" s="3">
        <f>+S251</f>
        <v>18000</v>
      </c>
      <c r="S251" s="3">
        <v>18000</v>
      </c>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f>+AR251</f>
        <v>18000</v>
      </c>
      <c r="AR251" s="3">
        <f>+AS251</f>
        <v>18000</v>
      </c>
      <c r="AS251" s="3">
        <v>18000</v>
      </c>
      <c r="AT251" s="3"/>
      <c r="AU251" s="3"/>
      <c r="AV251" s="3"/>
      <c r="AW251" s="3"/>
      <c r="AX251" s="3"/>
      <c r="AY251" s="3"/>
      <c r="AZ251" s="3"/>
      <c r="BA251" s="3">
        <f>+BB251</f>
        <v>1666</v>
      </c>
      <c r="BB251" s="3">
        <v>1666</v>
      </c>
      <c r="BC251" s="3"/>
      <c r="BD251" s="3"/>
      <c r="BE251" s="72" t="s">
        <v>466</v>
      </c>
      <c r="BF251" s="89"/>
    </row>
    <row r="252" spans="1:58" s="89" customFormat="1" ht="37.5" customHeight="1">
      <c r="A252" s="179" t="s">
        <v>103</v>
      </c>
      <c r="B252" s="130" t="s">
        <v>104</v>
      </c>
      <c r="C252" s="118"/>
      <c r="D252" s="118"/>
      <c r="E252" s="118"/>
      <c r="F252" s="118"/>
      <c r="G252" s="118"/>
      <c r="H252" s="118"/>
      <c r="I252" s="43"/>
      <c r="J252" s="22">
        <f>J253+J256</f>
        <v>1119040</v>
      </c>
      <c r="K252" s="22">
        <f t="shared" ref="K252:BD252" si="286">K253+K256</f>
        <v>296597</v>
      </c>
      <c r="L252" s="22">
        <f t="shared" si="286"/>
        <v>60797</v>
      </c>
      <c r="M252" s="22">
        <f t="shared" si="286"/>
        <v>13850</v>
      </c>
      <c r="N252" s="22">
        <f t="shared" si="286"/>
        <v>60797</v>
      </c>
      <c r="O252" s="22">
        <f t="shared" si="286"/>
        <v>38850</v>
      </c>
      <c r="P252" s="22">
        <f t="shared" si="286"/>
        <v>118575</v>
      </c>
      <c r="Q252" s="22">
        <f t="shared" si="286"/>
        <v>51628</v>
      </c>
      <c r="R252" s="22">
        <f t="shared" si="286"/>
        <v>318084</v>
      </c>
      <c r="S252" s="22">
        <f t="shared" si="286"/>
        <v>195425</v>
      </c>
      <c r="T252" s="22">
        <f t="shared" si="286"/>
        <v>0</v>
      </c>
      <c r="U252" s="22">
        <f t="shared" si="286"/>
        <v>1850</v>
      </c>
      <c r="V252" s="22">
        <f t="shared" si="286"/>
        <v>158775</v>
      </c>
      <c r="W252" s="22">
        <f t="shared" si="286"/>
        <v>57778</v>
      </c>
      <c r="X252" s="22">
        <f t="shared" si="286"/>
        <v>37778</v>
      </c>
      <c r="Y252" s="22">
        <f t="shared" si="286"/>
        <v>0</v>
      </c>
      <c r="Z252" s="22">
        <f t="shared" si="286"/>
        <v>1850</v>
      </c>
      <c r="AA252" s="22">
        <f t="shared" si="286"/>
        <v>39200</v>
      </c>
      <c r="AB252" s="22">
        <f t="shared" si="286"/>
        <v>25200</v>
      </c>
      <c r="AC252" s="22">
        <f t="shared" si="286"/>
        <v>0</v>
      </c>
      <c r="AD252" s="22">
        <f t="shared" si="286"/>
        <v>0</v>
      </c>
      <c r="AE252" s="22">
        <f t="shared" si="286"/>
        <v>96978</v>
      </c>
      <c r="AF252" s="22">
        <f t="shared" si="286"/>
        <v>62978</v>
      </c>
      <c r="AG252" s="22">
        <f t="shared" si="286"/>
        <v>0</v>
      </c>
      <c r="AH252" s="22">
        <f t="shared" si="286"/>
        <v>0</v>
      </c>
      <c r="AI252" s="22">
        <f t="shared" si="286"/>
        <v>41000</v>
      </c>
      <c r="AJ252" s="22">
        <f t="shared" si="286"/>
        <v>27000</v>
      </c>
      <c r="AK252" s="22">
        <f t="shared" si="286"/>
        <v>0</v>
      </c>
      <c r="AL252" s="22">
        <f t="shared" si="286"/>
        <v>0</v>
      </c>
      <c r="AM252" s="22">
        <f t="shared" si="286"/>
        <v>44050</v>
      </c>
      <c r="AN252" s="22">
        <f t="shared" si="286"/>
        <v>30050</v>
      </c>
      <c r="AO252" s="22">
        <f t="shared" si="286"/>
        <v>0</v>
      </c>
      <c r="AP252" s="22">
        <f t="shared" si="286"/>
        <v>0</v>
      </c>
      <c r="AQ252" s="22">
        <f t="shared" si="286"/>
        <v>181625</v>
      </c>
      <c r="AR252" s="22">
        <f t="shared" si="286"/>
        <v>143828</v>
      </c>
      <c r="AS252" s="22">
        <f t="shared" si="286"/>
        <v>93328</v>
      </c>
      <c r="AT252" s="22">
        <f t="shared" si="286"/>
        <v>74496</v>
      </c>
      <c r="AU252" s="22">
        <f t="shared" si="286"/>
        <v>55916</v>
      </c>
      <c r="AV252" s="22">
        <f t="shared" si="286"/>
        <v>0</v>
      </c>
      <c r="AW252" s="22">
        <f t="shared" si="286"/>
        <v>0</v>
      </c>
      <c r="AX252" s="4">
        <f t="shared" si="286"/>
        <v>238426</v>
      </c>
      <c r="AY252" s="4">
        <f t="shared" si="286"/>
        <v>150129</v>
      </c>
      <c r="AZ252" s="4">
        <f t="shared" si="286"/>
        <v>150129</v>
      </c>
      <c r="BA252" s="4">
        <f t="shared" si="286"/>
        <v>29827</v>
      </c>
      <c r="BB252" s="4">
        <f t="shared" si="286"/>
        <v>29827</v>
      </c>
      <c r="BC252" s="22">
        <f t="shared" si="286"/>
        <v>0</v>
      </c>
      <c r="BD252" s="22">
        <f t="shared" si="286"/>
        <v>0</v>
      </c>
      <c r="BE252" s="239"/>
    </row>
    <row r="253" spans="1:58" s="125" customFormat="1" ht="27" customHeight="1">
      <c r="A253" s="142" t="s">
        <v>150</v>
      </c>
      <c r="B253" s="93" t="s">
        <v>161</v>
      </c>
      <c r="C253" s="87"/>
      <c r="D253" s="87"/>
      <c r="E253" s="87"/>
      <c r="F253" s="87"/>
      <c r="G253" s="121"/>
      <c r="H253" s="121"/>
      <c r="I253" s="5"/>
      <c r="J253" s="4">
        <f>+J254+J255</f>
        <v>962810</v>
      </c>
      <c r="K253" s="4">
        <f>K254+K255</f>
        <v>186767</v>
      </c>
      <c r="L253" s="4">
        <f t="shared" ref="L253:BD253" si="287">L254+L255</f>
        <v>52385</v>
      </c>
      <c r="M253" s="4">
        <f t="shared" si="287"/>
        <v>7000</v>
      </c>
      <c r="N253" s="4">
        <f t="shared" si="287"/>
        <v>52385</v>
      </c>
      <c r="O253" s="4">
        <f t="shared" si="287"/>
        <v>32000</v>
      </c>
      <c r="P253" s="4">
        <f t="shared" si="287"/>
        <v>105663</v>
      </c>
      <c r="Q253" s="4">
        <f t="shared" si="287"/>
        <v>40278</v>
      </c>
      <c r="R253" s="4">
        <f t="shared" si="287"/>
        <v>219066</v>
      </c>
      <c r="S253" s="4">
        <f t="shared" si="287"/>
        <v>97907</v>
      </c>
      <c r="T253" s="4">
        <f t="shared" si="287"/>
        <v>0</v>
      </c>
      <c r="U253" s="4">
        <f t="shared" si="287"/>
        <v>0</v>
      </c>
      <c r="V253" s="4">
        <f t="shared" si="287"/>
        <v>139663</v>
      </c>
      <c r="W253" s="4">
        <f t="shared" si="287"/>
        <v>53278</v>
      </c>
      <c r="X253" s="4">
        <f t="shared" si="287"/>
        <v>33278</v>
      </c>
      <c r="Y253" s="4">
        <f t="shared" si="287"/>
        <v>0</v>
      </c>
      <c r="Z253" s="4">
        <f t="shared" si="287"/>
        <v>0</v>
      </c>
      <c r="AA253" s="4">
        <f t="shared" si="287"/>
        <v>33000</v>
      </c>
      <c r="AB253" s="4">
        <f t="shared" si="287"/>
        <v>19000</v>
      </c>
      <c r="AC253" s="4">
        <f t="shared" si="287"/>
        <v>0</v>
      </c>
      <c r="AD253" s="4">
        <f t="shared" si="287"/>
        <v>0</v>
      </c>
      <c r="AE253" s="4">
        <f t="shared" si="287"/>
        <v>86278</v>
      </c>
      <c r="AF253" s="4">
        <f t="shared" si="287"/>
        <v>52278</v>
      </c>
      <c r="AG253" s="4">
        <f t="shared" si="287"/>
        <v>0</v>
      </c>
      <c r="AH253" s="4">
        <f t="shared" si="287"/>
        <v>0</v>
      </c>
      <c r="AI253" s="4">
        <f t="shared" si="287"/>
        <v>29000</v>
      </c>
      <c r="AJ253" s="4">
        <f t="shared" si="287"/>
        <v>15000</v>
      </c>
      <c r="AK253" s="4">
        <f t="shared" si="287"/>
        <v>0</v>
      </c>
      <c r="AL253" s="4">
        <f t="shared" si="287"/>
        <v>0</v>
      </c>
      <c r="AM253" s="4">
        <f t="shared" si="287"/>
        <v>29000</v>
      </c>
      <c r="AN253" s="4">
        <f t="shared" si="287"/>
        <v>15000</v>
      </c>
      <c r="AO253" s="4">
        <f t="shared" si="287"/>
        <v>0</v>
      </c>
      <c r="AP253" s="4">
        <f t="shared" si="287"/>
        <v>0</v>
      </c>
      <c r="AQ253" s="4">
        <f t="shared" si="287"/>
        <v>145663</v>
      </c>
      <c r="AR253" s="4">
        <f t="shared" si="287"/>
        <v>116278</v>
      </c>
      <c r="AS253" s="4">
        <f t="shared" si="287"/>
        <v>67278</v>
      </c>
      <c r="AT253" s="4">
        <f t="shared" si="287"/>
        <v>34980</v>
      </c>
      <c r="AU253" s="4">
        <f t="shared" si="287"/>
        <v>16400</v>
      </c>
      <c r="AV253" s="4">
        <f t="shared" si="287"/>
        <v>0</v>
      </c>
      <c r="AW253" s="4">
        <f t="shared" si="287"/>
        <v>0</v>
      </c>
      <c r="AX253" s="4">
        <f t="shared" si="287"/>
        <v>162063</v>
      </c>
      <c r="AY253" s="4">
        <f t="shared" si="287"/>
        <v>83678</v>
      </c>
      <c r="AZ253" s="4">
        <f t="shared" si="287"/>
        <v>83678</v>
      </c>
      <c r="BA253" s="4">
        <f t="shared" si="287"/>
        <v>5100</v>
      </c>
      <c r="BB253" s="4">
        <f t="shared" si="287"/>
        <v>5100</v>
      </c>
      <c r="BC253" s="4">
        <f t="shared" si="287"/>
        <v>0</v>
      </c>
      <c r="BD253" s="4">
        <f t="shared" si="287"/>
        <v>0</v>
      </c>
      <c r="BE253" s="134"/>
    </row>
    <row r="254" spans="1:58" s="146" customFormat="1" ht="50.45" customHeight="1">
      <c r="A254" s="143" t="s">
        <v>72</v>
      </c>
      <c r="B254" s="117" t="s">
        <v>467</v>
      </c>
      <c r="C254" s="99" t="s">
        <v>435</v>
      </c>
      <c r="D254" s="99"/>
      <c r="E254" s="99" t="s">
        <v>468</v>
      </c>
      <c r="F254" s="99"/>
      <c r="G254" s="99"/>
      <c r="H254" s="99"/>
      <c r="I254" s="15" t="s">
        <v>469</v>
      </c>
      <c r="J254" s="3">
        <v>841000</v>
      </c>
      <c r="K254" s="3">
        <v>126150</v>
      </c>
      <c r="L254" s="3">
        <v>28000</v>
      </c>
      <c r="M254" s="3">
        <v>3000</v>
      </c>
      <c r="N254" s="3">
        <v>28000</v>
      </c>
      <c r="O254" s="3">
        <v>28000</v>
      </c>
      <c r="P254" s="3">
        <f>L254+W254</f>
        <v>58000</v>
      </c>
      <c r="Q254" s="3">
        <f>M254+X254</f>
        <v>13000</v>
      </c>
      <c r="R254" s="3">
        <v>168159</v>
      </c>
      <c r="S254" s="3">
        <v>47000</v>
      </c>
      <c r="T254" s="3"/>
      <c r="U254" s="3"/>
      <c r="V254" s="3">
        <v>83000</v>
      </c>
      <c r="W254" s="3">
        <v>30000</v>
      </c>
      <c r="X254" s="3">
        <v>10000</v>
      </c>
      <c r="Y254" s="3"/>
      <c r="Z254" s="3"/>
      <c r="AA254" s="16">
        <v>24000</v>
      </c>
      <c r="AB254" s="16">
        <v>10000</v>
      </c>
      <c r="AC254" s="3"/>
      <c r="AD254" s="3"/>
      <c r="AE254" s="3">
        <f t="shared" ref="AE254:AF255" si="288">W254+AA254</f>
        <v>54000</v>
      </c>
      <c r="AF254" s="3">
        <f t="shared" si="288"/>
        <v>20000</v>
      </c>
      <c r="AG254" s="3"/>
      <c r="AH254" s="3"/>
      <c r="AI254" s="3">
        <f t="shared" ref="AI254:AL255" si="289">AM254</f>
        <v>23000</v>
      </c>
      <c r="AJ254" s="3">
        <f t="shared" si="289"/>
        <v>9000</v>
      </c>
      <c r="AK254" s="3">
        <f t="shared" si="289"/>
        <v>0</v>
      </c>
      <c r="AL254" s="3">
        <f t="shared" si="289"/>
        <v>0</v>
      </c>
      <c r="AM254" s="3">
        <f>AN254+14000</f>
        <v>23000</v>
      </c>
      <c r="AN254" s="3">
        <v>9000</v>
      </c>
      <c r="AO254" s="3"/>
      <c r="AP254" s="3"/>
      <c r="AQ254" s="3">
        <v>83000</v>
      </c>
      <c r="AR254" s="3">
        <v>78000</v>
      </c>
      <c r="AS254" s="3">
        <f t="shared" ref="AS254:AS255" si="290">AF254+AN254</f>
        <v>29000</v>
      </c>
      <c r="AT254" s="3">
        <f>AU254+18580</f>
        <v>27580</v>
      </c>
      <c r="AU254" s="3">
        <v>9000</v>
      </c>
      <c r="AV254" s="3"/>
      <c r="AW254" s="3"/>
      <c r="AX254" s="3">
        <f t="shared" ref="AX254:AX255" si="291">AQ254+AU254</f>
        <v>92000</v>
      </c>
      <c r="AY254" s="3">
        <f t="shared" ref="AY254:AY255" si="292">AZ254</f>
        <v>38000</v>
      </c>
      <c r="AZ254" s="3">
        <f t="shared" ref="AZ254:AZ255" si="293">AS254+AU254</f>
        <v>38000</v>
      </c>
      <c r="BA254" s="3">
        <f t="shared" ref="BA254:BA255" si="294">BB254</f>
        <v>0</v>
      </c>
      <c r="BB254" s="3"/>
      <c r="BC254" s="3"/>
      <c r="BD254" s="3"/>
      <c r="BE254" s="145" t="s">
        <v>260</v>
      </c>
    </row>
    <row r="255" spans="1:58" ht="44.1" customHeight="1">
      <c r="A255" s="143" t="s">
        <v>470</v>
      </c>
      <c r="B255" s="182" t="s">
        <v>471</v>
      </c>
      <c r="C255" s="99" t="s">
        <v>435</v>
      </c>
      <c r="D255" s="99"/>
      <c r="E255" s="99" t="s">
        <v>472</v>
      </c>
      <c r="F255" s="99"/>
      <c r="G255" s="99"/>
      <c r="H255" s="99"/>
      <c r="I255" s="15" t="s">
        <v>473</v>
      </c>
      <c r="J255" s="3">
        <v>121810</v>
      </c>
      <c r="K255" s="3">
        <v>60617</v>
      </c>
      <c r="L255" s="3">
        <v>24385</v>
      </c>
      <c r="M255" s="3">
        <v>4000</v>
      </c>
      <c r="N255" s="3">
        <v>24385</v>
      </c>
      <c r="O255" s="3">
        <v>4000</v>
      </c>
      <c r="P255" s="3">
        <f t="shared" ref="P255:Q255" si="295">L255+W255</f>
        <v>47663</v>
      </c>
      <c r="Q255" s="3">
        <f t="shared" si="295"/>
        <v>27278</v>
      </c>
      <c r="R255" s="3">
        <f>+S255</f>
        <v>50907</v>
      </c>
      <c r="S255" s="3">
        <v>50907</v>
      </c>
      <c r="T255" s="3"/>
      <c r="U255" s="3"/>
      <c r="V255" s="3">
        <f>24385+23278+9000</f>
        <v>56663</v>
      </c>
      <c r="W255" s="3">
        <v>23278</v>
      </c>
      <c r="X255" s="3">
        <v>23278</v>
      </c>
      <c r="Y255" s="3"/>
      <c r="Z255" s="3"/>
      <c r="AA255" s="16">
        <v>9000</v>
      </c>
      <c r="AB255" s="16">
        <v>9000</v>
      </c>
      <c r="AC255" s="3"/>
      <c r="AD255" s="3"/>
      <c r="AE255" s="3">
        <f t="shared" si="288"/>
        <v>32278</v>
      </c>
      <c r="AF255" s="3">
        <f t="shared" si="288"/>
        <v>32278</v>
      </c>
      <c r="AG255" s="4"/>
      <c r="AH255" s="4"/>
      <c r="AI255" s="4">
        <f t="shared" si="289"/>
        <v>6000</v>
      </c>
      <c r="AJ255" s="4">
        <f t="shared" si="289"/>
        <v>6000</v>
      </c>
      <c r="AK255" s="4">
        <f t="shared" si="289"/>
        <v>0</v>
      </c>
      <c r="AL255" s="4">
        <f t="shared" si="289"/>
        <v>0</v>
      </c>
      <c r="AM255" s="3">
        <f>AN255</f>
        <v>6000</v>
      </c>
      <c r="AN255" s="16">
        <v>6000</v>
      </c>
      <c r="AO255" s="3"/>
      <c r="AP255" s="3"/>
      <c r="AQ255" s="12">
        <f>V255+AN255</f>
        <v>62663</v>
      </c>
      <c r="AR255" s="12">
        <f t="shared" ref="AR255" si="296">AE255+AM255</f>
        <v>38278</v>
      </c>
      <c r="AS255" s="12">
        <f t="shared" si="290"/>
        <v>38278</v>
      </c>
      <c r="AT255" s="12">
        <f t="shared" ref="AT255" si="297">AU255</f>
        <v>7400</v>
      </c>
      <c r="AU255" s="12">
        <v>7400</v>
      </c>
      <c r="AV255" s="12"/>
      <c r="AW255" s="12"/>
      <c r="AX255" s="3">
        <f t="shared" si="291"/>
        <v>70063</v>
      </c>
      <c r="AY255" s="3">
        <f t="shared" si="292"/>
        <v>45678</v>
      </c>
      <c r="AZ255" s="3">
        <f t="shared" si="293"/>
        <v>45678</v>
      </c>
      <c r="BA255" s="3">
        <f t="shared" si="294"/>
        <v>5100</v>
      </c>
      <c r="BB255" s="3">
        <v>5100</v>
      </c>
      <c r="BC255" s="3"/>
      <c r="BD255" s="3"/>
      <c r="BE255" s="145"/>
      <c r="BF255" s="57">
        <f>AU255</f>
        <v>7400</v>
      </c>
    </row>
    <row r="256" spans="1:58" s="125" customFormat="1" ht="29.45" customHeight="1">
      <c r="A256" s="161" t="s">
        <v>94</v>
      </c>
      <c r="B256" s="162" t="s">
        <v>265</v>
      </c>
      <c r="C256" s="124"/>
      <c r="D256" s="124"/>
      <c r="E256" s="124"/>
      <c r="F256" s="124"/>
      <c r="G256" s="240"/>
      <c r="H256" s="124"/>
      <c r="I256" s="19"/>
      <c r="J256" s="20">
        <f t="shared" ref="J256:BD256" si="298">SUM(J257:J264)</f>
        <v>156230</v>
      </c>
      <c r="K256" s="20">
        <f t="shared" si="298"/>
        <v>109830</v>
      </c>
      <c r="L256" s="20">
        <f t="shared" si="298"/>
        <v>8412</v>
      </c>
      <c r="M256" s="20">
        <f t="shared" si="298"/>
        <v>6850</v>
      </c>
      <c r="N256" s="20">
        <f t="shared" si="298"/>
        <v>8412</v>
      </c>
      <c r="O256" s="20">
        <f t="shared" si="298"/>
        <v>6850</v>
      </c>
      <c r="P256" s="20">
        <f t="shared" si="298"/>
        <v>12912</v>
      </c>
      <c r="Q256" s="20">
        <f t="shared" si="298"/>
        <v>11350</v>
      </c>
      <c r="R256" s="20">
        <f t="shared" si="298"/>
        <v>99018</v>
      </c>
      <c r="S256" s="20">
        <f t="shared" si="298"/>
        <v>97518</v>
      </c>
      <c r="T256" s="20">
        <f t="shared" si="298"/>
        <v>0</v>
      </c>
      <c r="U256" s="20">
        <f t="shared" si="298"/>
        <v>1850</v>
      </c>
      <c r="V256" s="20">
        <f t="shared" si="298"/>
        <v>19112</v>
      </c>
      <c r="W256" s="20">
        <f t="shared" si="298"/>
        <v>4500</v>
      </c>
      <c r="X256" s="20">
        <f t="shared" si="298"/>
        <v>4500</v>
      </c>
      <c r="Y256" s="20">
        <f t="shared" si="298"/>
        <v>0</v>
      </c>
      <c r="Z256" s="20">
        <f t="shared" si="298"/>
        <v>1850</v>
      </c>
      <c r="AA256" s="20">
        <f t="shared" si="298"/>
        <v>6200</v>
      </c>
      <c r="AB256" s="20">
        <f t="shared" si="298"/>
        <v>6200</v>
      </c>
      <c r="AC256" s="20">
        <f t="shared" si="298"/>
        <v>0</v>
      </c>
      <c r="AD256" s="20">
        <f t="shared" si="298"/>
        <v>0</v>
      </c>
      <c r="AE256" s="20">
        <f t="shared" si="298"/>
        <v>10700</v>
      </c>
      <c r="AF256" s="20">
        <f t="shared" si="298"/>
        <v>10700</v>
      </c>
      <c r="AG256" s="20">
        <f t="shared" si="298"/>
        <v>0</v>
      </c>
      <c r="AH256" s="20">
        <f t="shared" si="298"/>
        <v>0</v>
      </c>
      <c r="AI256" s="20">
        <f t="shared" si="298"/>
        <v>12000</v>
      </c>
      <c r="AJ256" s="20">
        <f t="shared" si="298"/>
        <v>12000</v>
      </c>
      <c r="AK256" s="20">
        <f t="shared" si="298"/>
        <v>0</v>
      </c>
      <c r="AL256" s="20">
        <f t="shared" si="298"/>
        <v>0</v>
      </c>
      <c r="AM256" s="20">
        <f t="shared" si="298"/>
        <v>15050</v>
      </c>
      <c r="AN256" s="20">
        <f t="shared" si="298"/>
        <v>15050</v>
      </c>
      <c r="AO256" s="20">
        <f t="shared" si="298"/>
        <v>0</v>
      </c>
      <c r="AP256" s="20">
        <f t="shared" si="298"/>
        <v>0</v>
      </c>
      <c r="AQ256" s="20">
        <f t="shared" si="298"/>
        <v>35962</v>
      </c>
      <c r="AR256" s="20">
        <f t="shared" si="298"/>
        <v>27550</v>
      </c>
      <c r="AS256" s="20">
        <f t="shared" si="298"/>
        <v>26050</v>
      </c>
      <c r="AT256" s="20">
        <f t="shared" si="298"/>
        <v>39516</v>
      </c>
      <c r="AU256" s="20">
        <f t="shared" si="298"/>
        <v>39516</v>
      </c>
      <c r="AV256" s="20">
        <f t="shared" si="298"/>
        <v>0</v>
      </c>
      <c r="AW256" s="20">
        <f t="shared" si="298"/>
        <v>0</v>
      </c>
      <c r="AX256" s="20">
        <f t="shared" si="298"/>
        <v>76363</v>
      </c>
      <c r="AY256" s="20">
        <f t="shared" si="298"/>
        <v>66451</v>
      </c>
      <c r="AZ256" s="20">
        <f t="shared" si="298"/>
        <v>66451</v>
      </c>
      <c r="BA256" s="20">
        <f t="shared" si="298"/>
        <v>24727</v>
      </c>
      <c r="BB256" s="20">
        <f t="shared" si="298"/>
        <v>24727</v>
      </c>
      <c r="BC256" s="20">
        <f t="shared" si="298"/>
        <v>0</v>
      </c>
      <c r="BD256" s="20">
        <f t="shared" si="298"/>
        <v>0</v>
      </c>
      <c r="BE256" s="241"/>
    </row>
    <row r="257" spans="1:58" s="146" customFormat="1" ht="64.150000000000006" customHeight="1">
      <c r="A257" s="143" t="s">
        <v>72</v>
      </c>
      <c r="B257" s="201" t="s">
        <v>474</v>
      </c>
      <c r="C257" s="99" t="s">
        <v>435</v>
      </c>
      <c r="D257" s="99"/>
      <c r="E257" s="15" t="s">
        <v>475</v>
      </c>
      <c r="F257" s="99"/>
      <c r="G257" s="99"/>
      <c r="H257" s="99" t="s">
        <v>476</v>
      </c>
      <c r="I257" s="15" t="s">
        <v>477</v>
      </c>
      <c r="J257" s="3">
        <v>43900</v>
      </c>
      <c r="K257" s="3">
        <v>43900</v>
      </c>
      <c r="L257" s="3">
        <v>8412</v>
      </c>
      <c r="M257" s="3">
        <v>6850</v>
      </c>
      <c r="N257" s="3">
        <v>8412</v>
      </c>
      <c r="O257" s="3">
        <v>6850</v>
      </c>
      <c r="P257" s="3">
        <f t="shared" ref="P257:Q258" si="299">L257+W257</f>
        <v>12912</v>
      </c>
      <c r="Q257" s="3">
        <f t="shared" si="299"/>
        <v>11350</v>
      </c>
      <c r="R257" s="3">
        <f>S257</f>
        <v>33488</v>
      </c>
      <c r="S257" s="3">
        <f>20488+13000</f>
        <v>33488</v>
      </c>
      <c r="T257" s="3">
        <v>0</v>
      </c>
      <c r="U257" s="3">
        <v>1850</v>
      </c>
      <c r="V257" s="3">
        <f>8412+4500+6000</f>
        <v>18912</v>
      </c>
      <c r="W257" s="3">
        <v>4500</v>
      </c>
      <c r="X257" s="3">
        <v>4500</v>
      </c>
      <c r="Y257" s="3"/>
      <c r="Z257" s="3">
        <v>1850</v>
      </c>
      <c r="AA257" s="16">
        <v>6000</v>
      </c>
      <c r="AB257" s="16">
        <v>6000</v>
      </c>
      <c r="AC257" s="3"/>
      <c r="AD257" s="3"/>
      <c r="AE257" s="3">
        <f t="shared" ref="AE257:AF258" si="300">W257+AA257</f>
        <v>10500</v>
      </c>
      <c r="AF257" s="3">
        <f t="shared" si="300"/>
        <v>10500</v>
      </c>
      <c r="AG257" s="3"/>
      <c r="AH257" s="3"/>
      <c r="AI257" s="3">
        <f>AM257</f>
        <v>8000</v>
      </c>
      <c r="AJ257" s="3">
        <f>AN257</f>
        <v>8000</v>
      </c>
      <c r="AK257" s="3">
        <f>AO257</f>
        <v>0</v>
      </c>
      <c r="AL257" s="3">
        <f>AP257</f>
        <v>0</v>
      </c>
      <c r="AM257" s="3">
        <f>AN257</f>
        <v>8000</v>
      </c>
      <c r="AN257" s="3">
        <v>8000</v>
      </c>
      <c r="AO257" s="3"/>
      <c r="AP257" s="3"/>
      <c r="AQ257" s="3">
        <f>V257+AN257</f>
        <v>26912</v>
      </c>
      <c r="AR257" s="3">
        <f>AE257+AM257</f>
        <v>18500</v>
      </c>
      <c r="AS257" s="3">
        <f>AF257+AN257</f>
        <v>18500</v>
      </c>
      <c r="AT257" s="3">
        <f>AU257</f>
        <v>13700</v>
      </c>
      <c r="AU257" s="3">
        <v>13700</v>
      </c>
      <c r="AV257" s="3"/>
      <c r="AW257" s="3"/>
      <c r="AX257" s="3">
        <f t="shared" ref="AX257" si="301">AQ257+AU257</f>
        <v>40612</v>
      </c>
      <c r="AY257" s="3">
        <f t="shared" ref="AY257:AY264" si="302">AZ257</f>
        <v>32200</v>
      </c>
      <c r="AZ257" s="3">
        <f t="shared" ref="AZ257" si="303">AS257+AU257</f>
        <v>32200</v>
      </c>
      <c r="BA257" s="3">
        <f t="shared" ref="BA257:BA264" si="304">BB257</f>
        <v>1200</v>
      </c>
      <c r="BB257" s="3">
        <v>1200</v>
      </c>
      <c r="BC257" s="3"/>
      <c r="BD257" s="3"/>
      <c r="BE257" s="145" t="s">
        <v>118</v>
      </c>
    </row>
    <row r="258" spans="1:58" ht="42.75" customHeight="1">
      <c r="A258" s="135">
        <v>3</v>
      </c>
      <c r="B258" s="136" t="s">
        <v>478</v>
      </c>
      <c r="C258" s="137" t="s">
        <v>435</v>
      </c>
      <c r="D258" s="137"/>
      <c r="E258" s="15" t="s">
        <v>479</v>
      </c>
      <c r="F258" s="137"/>
      <c r="G258" s="145" t="s">
        <v>480</v>
      </c>
      <c r="H258" s="99" t="s">
        <v>100</v>
      </c>
      <c r="I258" s="15" t="s">
        <v>481</v>
      </c>
      <c r="J258" s="3">
        <v>13730</v>
      </c>
      <c r="K258" s="3">
        <v>13730</v>
      </c>
      <c r="L258" s="3"/>
      <c r="M258" s="3"/>
      <c r="N258" s="3"/>
      <c r="O258" s="3"/>
      <c r="P258" s="3">
        <f t="shared" si="299"/>
        <v>0</v>
      </c>
      <c r="Q258" s="3">
        <f t="shared" si="299"/>
        <v>0</v>
      </c>
      <c r="R258" s="3">
        <v>13730</v>
      </c>
      <c r="S258" s="3">
        <v>13730</v>
      </c>
      <c r="T258" s="3"/>
      <c r="U258" s="3"/>
      <c r="V258" s="3">
        <v>200</v>
      </c>
      <c r="W258" s="3"/>
      <c r="X258" s="3"/>
      <c r="Y258" s="3"/>
      <c r="Z258" s="3"/>
      <c r="AA258" s="3">
        <v>200</v>
      </c>
      <c r="AB258" s="3">
        <v>200</v>
      </c>
      <c r="AC258" s="3"/>
      <c r="AD258" s="3"/>
      <c r="AE258" s="3">
        <f t="shared" si="300"/>
        <v>200</v>
      </c>
      <c r="AF258" s="3">
        <f t="shared" si="300"/>
        <v>200</v>
      </c>
      <c r="AG258" s="3"/>
      <c r="AH258" s="3"/>
      <c r="AI258" s="3">
        <f>AM258</f>
        <v>4000</v>
      </c>
      <c r="AJ258" s="3">
        <f>AN258</f>
        <v>4000</v>
      </c>
      <c r="AK258" s="3">
        <f t="shared" ref="AK258" si="305">AO258</f>
        <v>0</v>
      </c>
      <c r="AL258" s="3"/>
      <c r="AM258" s="3">
        <f t="shared" ref="AM258:AM260" si="306">AN258</f>
        <v>4000</v>
      </c>
      <c r="AN258" s="3">
        <v>4000</v>
      </c>
      <c r="AO258" s="3"/>
      <c r="AP258" s="3"/>
      <c r="AQ258" s="12">
        <v>4200</v>
      </c>
      <c r="AR258" s="12">
        <f t="shared" ref="AR258:AS260" si="307">AE258+AM258</f>
        <v>4200</v>
      </c>
      <c r="AS258" s="12">
        <f t="shared" si="307"/>
        <v>4200</v>
      </c>
      <c r="AT258" s="12">
        <f t="shared" ref="AT258:AT260" si="308">AU258</f>
        <v>6500</v>
      </c>
      <c r="AU258" s="12">
        <v>6500</v>
      </c>
      <c r="AV258" s="12"/>
      <c r="AW258" s="12"/>
      <c r="AX258" s="3">
        <f>+AZ258</f>
        <v>11350</v>
      </c>
      <c r="AY258" s="3">
        <f t="shared" si="302"/>
        <v>11350</v>
      </c>
      <c r="AZ258" s="3">
        <f>AS258+AU258+650</f>
        <v>11350</v>
      </c>
      <c r="BA258" s="3">
        <f t="shared" si="304"/>
        <v>2380</v>
      </c>
      <c r="BB258" s="3">
        <f t="shared" ref="BB258:BB264" si="309">S258-AZ258</f>
        <v>2380</v>
      </c>
      <c r="BC258" s="3"/>
      <c r="BD258" s="3"/>
      <c r="BE258" s="150" t="s">
        <v>118</v>
      </c>
      <c r="BF258" s="57">
        <f>AU258</f>
        <v>6500</v>
      </c>
    </row>
    <row r="259" spans="1:58" ht="50.45" customHeight="1">
      <c r="A259" s="72">
        <v>6</v>
      </c>
      <c r="B259" s="184" t="s">
        <v>482</v>
      </c>
      <c r="C259" s="105" t="s">
        <v>152</v>
      </c>
      <c r="D259" s="99"/>
      <c r="E259" s="99" t="s">
        <v>472</v>
      </c>
      <c r="F259" s="99"/>
      <c r="G259" s="137"/>
      <c r="H259" s="105" t="s">
        <v>100</v>
      </c>
      <c r="I259" s="196" t="s">
        <v>483</v>
      </c>
      <c r="J259" s="151">
        <v>7000</v>
      </c>
      <c r="K259" s="151">
        <v>7000</v>
      </c>
      <c r="L259" s="3"/>
      <c r="M259" s="3"/>
      <c r="N259" s="3"/>
      <c r="O259" s="3"/>
      <c r="P259" s="3"/>
      <c r="Q259" s="3"/>
      <c r="R259" s="3">
        <f>S259</f>
        <v>7000</v>
      </c>
      <c r="S259" s="3">
        <v>7000</v>
      </c>
      <c r="T259" s="3"/>
      <c r="U259" s="3"/>
      <c r="V259" s="3"/>
      <c r="W259" s="3"/>
      <c r="X259" s="3"/>
      <c r="Y259" s="3"/>
      <c r="Z259" s="3"/>
      <c r="AA259" s="3"/>
      <c r="AB259" s="3"/>
      <c r="AC259" s="3"/>
      <c r="AD259" s="3"/>
      <c r="AE259" s="3"/>
      <c r="AF259" s="3"/>
      <c r="AG259" s="3"/>
      <c r="AH259" s="3"/>
      <c r="AI259" s="3"/>
      <c r="AJ259" s="3"/>
      <c r="AK259" s="3"/>
      <c r="AL259" s="3"/>
      <c r="AM259" s="3">
        <f t="shared" si="306"/>
        <v>2000</v>
      </c>
      <c r="AN259" s="3">
        <v>2000</v>
      </c>
      <c r="AO259" s="3"/>
      <c r="AP259" s="3"/>
      <c r="AQ259" s="12">
        <v>2000</v>
      </c>
      <c r="AR259" s="12">
        <f t="shared" si="307"/>
        <v>2000</v>
      </c>
      <c r="AS259" s="12">
        <f t="shared" si="307"/>
        <v>2000</v>
      </c>
      <c r="AT259" s="12">
        <f t="shared" si="308"/>
        <v>4000</v>
      </c>
      <c r="AU259" s="12">
        <v>4000</v>
      </c>
      <c r="AV259" s="12"/>
      <c r="AW259" s="12"/>
      <c r="AX259" s="3">
        <f>+AY259</f>
        <v>6100</v>
      </c>
      <c r="AY259" s="3">
        <f t="shared" si="302"/>
        <v>6100</v>
      </c>
      <c r="AZ259" s="3">
        <f>AS259+AU259+100</f>
        <v>6100</v>
      </c>
      <c r="BA259" s="3">
        <f t="shared" si="304"/>
        <v>900</v>
      </c>
      <c r="BB259" s="3">
        <f t="shared" si="309"/>
        <v>900</v>
      </c>
      <c r="BC259" s="3"/>
      <c r="BD259" s="3"/>
      <c r="BE259" s="150" t="s">
        <v>118</v>
      </c>
      <c r="BF259" s="57">
        <f>AU259</f>
        <v>4000</v>
      </c>
    </row>
    <row r="260" spans="1:58" ht="47.25" customHeight="1">
      <c r="A260" s="72">
        <v>7</v>
      </c>
      <c r="B260" s="195" t="s">
        <v>484</v>
      </c>
      <c r="C260" s="105"/>
      <c r="D260" s="99"/>
      <c r="E260" s="99"/>
      <c r="F260" s="99"/>
      <c r="G260" s="137"/>
      <c r="H260" s="105"/>
      <c r="I260" s="196" t="s">
        <v>485</v>
      </c>
      <c r="J260" s="151">
        <v>46000</v>
      </c>
      <c r="K260" s="151">
        <v>5400</v>
      </c>
      <c r="L260" s="3"/>
      <c r="M260" s="3"/>
      <c r="N260" s="3"/>
      <c r="O260" s="3"/>
      <c r="P260" s="3"/>
      <c r="Q260" s="3"/>
      <c r="R260" s="3">
        <f>S260</f>
        <v>5000</v>
      </c>
      <c r="S260" s="3">
        <v>5000</v>
      </c>
      <c r="T260" s="3"/>
      <c r="U260" s="3"/>
      <c r="V260" s="3"/>
      <c r="W260" s="3"/>
      <c r="X260" s="3"/>
      <c r="Y260" s="3"/>
      <c r="Z260" s="3"/>
      <c r="AA260" s="3"/>
      <c r="AB260" s="3"/>
      <c r="AC260" s="3"/>
      <c r="AD260" s="3"/>
      <c r="AE260" s="3"/>
      <c r="AF260" s="3"/>
      <c r="AG260" s="3"/>
      <c r="AH260" s="3"/>
      <c r="AI260" s="3"/>
      <c r="AJ260" s="3"/>
      <c r="AK260" s="3"/>
      <c r="AL260" s="3"/>
      <c r="AM260" s="3">
        <f t="shared" si="306"/>
        <v>1050</v>
      </c>
      <c r="AN260" s="3">
        <v>1050</v>
      </c>
      <c r="AO260" s="3"/>
      <c r="AP260" s="3"/>
      <c r="AQ260" s="12">
        <f>+AR260</f>
        <v>1050</v>
      </c>
      <c r="AR260" s="12">
        <f t="shared" si="307"/>
        <v>1050</v>
      </c>
      <c r="AS260" s="12">
        <f t="shared" si="307"/>
        <v>1050</v>
      </c>
      <c r="AT260" s="12">
        <f t="shared" si="308"/>
        <v>0</v>
      </c>
      <c r="AU260" s="12"/>
      <c r="AV260" s="12"/>
      <c r="AW260" s="12"/>
      <c r="AX260" s="3">
        <f>+AZ260</f>
        <v>1185</v>
      </c>
      <c r="AY260" s="3">
        <f t="shared" si="302"/>
        <v>1185</v>
      </c>
      <c r="AZ260" s="3">
        <v>1185</v>
      </c>
      <c r="BA260" s="3">
        <f t="shared" si="304"/>
        <v>3800</v>
      </c>
      <c r="BB260" s="3">
        <v>3800</v>
      </c>
      <c r="BC260" s="3"/>
      <c r="BD260" s="3"/>
      <c r="BE260" s="147" t="s">
        <v>486</v>
      </c>
      <c r="BF260" s="57">
        <f>AU260</f>
        <v>0</v>
      </c>
    </row>
    <row r="261" spans="1:58" s="146" customFormat="1" ht="42.95" customHeight="1">
      <c r="A261" s="135">
        <v>8</v>
      </c>
      <c r="B261" s="158" t="s">
        <v>487</v>
      </c>
      <c r="C261" s="137"/>
      <c r="D261" s="137"/>
      <c r="E261" s="99" t="s">
        <v>488</v>
      </c>
      <c r="F261" s="137"/>
      <c r="G261" s="174"/>
      <c r="H261" s="99" t="s">
        <v>121</v>
      </c>
      <c r="I261" s="15" t="s">
        <v>489</v>
      </c>
      <c r="J261" s="3">
        <v>10000</v>
      </c>
      <c r="K261" s="3">
        <v>10000</v>
      </c>
      <c r="L261" s="3"/>
      <c r="M261" s="3"/>
      <c r="N261" s="3"/>
      <c r="O261" s="3"/>
      <c r="P261" s="3"/>
      <c r="Q261" s="3"/>
      <c r="R261" s="3">
        <f>S261</f>
        <v>10000</v>
      </c>
      <c r="S261" s="3">
        <v>10000</v>
      </c>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v>100</v>
      </c>
      <c r="AR261" s="3">
        <f>+AS261</f>
        <v>100</v>
      </c>
      <c r="AS261" s="3">
        <v>100</v>
      </c>
      <c r="AT261" s="3">
        <f>AU261</f>
        <v>8500</v>
      </c>
      <c r="AU261" s="3">
        <v>8500</v>
      </c>
      <c r="AV261" s="3"/>
      <c r="AW261" s="3"/>
      <c r="AX261" s="3">
        <f t="shared" ref="AX261:AX264" si="310">AQ261+AU261</f>
        <v>8600</v>
      </c>
      <c r="AY261" s="3">
        <f t="shared" si="302"/>
        <v>8600</v>
      </c>
      <c r="AZ261" s="3">
        <f t="shared" ref="AZ261:AZ264" si="311">AS261+AU261</f>
        <v>8600</v>
      </c>
      <c r="BA261" s="3">
        <f t="shared" si="304"/>
        <v>0</v>
      </c>
      <c r="BB261" s="3"/>
      <c r="BC261" s="3"/>
      <c r="BD261" s="3"/>
      <c r="BE261" s="145" t="s">
        <v>260</v>
      </c>
    </row>
    <row r="262" spans="1:58" ht="48.95" customHeight="1">
      <c r="A262" s="135">
        <v>9</v>
      </c>
      <c r="B262" s="148" t="s">
        <v>490</v>
      </c>
      <c r="C262" s="137" t="s">
        <v>435</v>
      </c>
      <c r="D262" s="137"/>
      <c r="E262" s="99" t="s">
        <v>491</v>
      </c>
      <c r="F262" s="137"/>
      <c r="G262" s="174"/>
      <c r="H262" s="105" t="s">
        <v>125</v>
      </c>
      <c r="I262" s="196" t="s">
        <v>492</v>
      </c>
      <c r="J262" s="151">
        <v>14800</v>
      </c>
      <c r="K262" s="151">
        <v>9000</v>
      </c>
      <c r="L262" s="3"/>
      <c r="M262" s="3"/>
      <c r="N262" s="3"/>
      <c r="O262" s="3"/>
      <c r="P262" s="3"/>
      <c r="Q262" s="3"/>
      <c r="R262" s="3">
        <v>9000</v>
      </c>
      <c r="S262" s="3">
        <v>7500</v>
      </c>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12">
        <f>+AR262</f>
        <v>1500</v>
      </c>
      <c r="AR262" s="12">
        <v>1500</v>
      </c>
      <c r="AS262" s="12"/>
      <c r="AT262" s="12">
        <f>AU262</f>
        <v>1716</v>
      </c>
      <c r="AU262" s="12">
        <v>1716</v>
      </c>
      <c r="AV262" s="12"/>
      <c r="AW262" s="12"/>
      <c r="AX262" s="3">
        <f t="shared" si="310"/>
        <v>3216</v>
      </c>
      <c r="AY262" s="3">
        <f t="shared" si="302"/>
        <v>1716</v>
      </c>
      <c r="AZ262" s="3">
        <f t="shared" si="311"/>
        <v>1716</v>
      </c>
      <c r="BA262" s="3">
        <f t="shared" si="304"/>
        <v>5747</v>
      </c>
      <c r="BB262" s="3">
        <f>S262-AZ262-37</f>
        <v>5747</v>
      </c>
      <c r="BC262" s="3"/>
      <c r="BD262" s="3"/>
      <c r="BE262" s="147"/>
    </row>
    <row r="263" spans="1:58" ht="46.5" hidden="1" customHeight="1">
      <c r="A263" s="135">
        <v>10</v>
      </c>
      <c r="B263" s="158" t="s">
        <v>187</v>
      </c>
      <c r="C263" s="99"/>
      <c r="D263" s="99"/>
      <c r="E263" s="99" t="s">
        <v>188</v>
      </c>
      <c r="F263" s="137"/>
      <c r="G263" s="174"/>
      <c r="H263" s="99"/>
      <c r="I263" s="15" t="s">
        <v>189</v>
      </c>
      <c r="J263" s="3">
        <f>K263</f>
        <v>10000</v>
      </c>
      <c r="K263" s="3">
        <v>10000</v>
      </c>
      <c r="L263" s="3"/>
      <c r="M263" s="3"/>
      <c r="N263" s="3"/>
      <c r="O263" s="3"/>
      <c r="P263" s="3"/>
      <c r="Q263" s="3"/>
      <c r="R263" s="3">
        <f>10000</f>
        <v>10000</v>
      </c>
      <c r="S263" s="3">
        <v>10000</v>
      </c>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12">
        <v>200</v>
      </c>
      <c r="AR263" s="12">
        <f>+AS263</f>
        <v>200</v>
      </c>
      <c r="AS263" s="12">
        <v>200</v>
      </c>
      <c r="AT263" s="12">
        <f>AU263</f>
        <v>5000</v>
      </c>
      <c r="AU263" s="12">
        <v>5000</v>
      </c>
      <c r="AV263" s="12"/>
      <c r="AW263" s="12"/>
      <c r="AX263" s="3">
        <f t="shared" si="310"/>
        <v>5200</v>
      </c>
      <c r="AY263" s="3">
        <f t="shared" si="302"/>
        <v>5200</v>
      </c>
      <c r="AZ263" s="3">
        <f t="shared" si="311"/>
        <v>5200</v>
      </c>
      <c r="BA263" s="3">
        <f t="shared" si="304"/>
        <v>0</v>
      </c>
      <c r="BB263" s="3"/>
      <c r="BC263" s="3"/>
      <c r="BD263" s="3"/>
      <c r="BE263" s="147"/>
    </row>
    <row r="264" spans="1:58" s="123" customFormat="1" ht="39.200000000000003" customHeight="1">
      <c r="A264" s="143" t="s">
        <v>493</v>
      </c>
      <c r="B264" s="231" t="s">
        <v>494</v>
      </c>
      <c r="C264" s="137"/>
      <c r="D264" s="181"/>
      <c r="E264" s="99"/>
      <c r="F264" s="181"/>
      <c r="G264" s="181"/>
      <c r="H264" s="138" t="s">
        <v>121</v>
      </c>
      <c r="I264" s="196" t="s">
        <v>495</v>
      </c>
      <c r="J264" s="3">
        <f>+K264</f>
        <v>10800</v>
      </c>
      <c r="K264" s="3">
        <v>10800</v>
      </c>
      <c r="L264" s="25"/>
      <c r="M264" s="25"/>
      <c r="N264" s="25"/>
      <c r="O264" s="25"/>
      <c r="P264" s="25"/>
      <c r="Q264" s="25"/>
      <c r="R264" s="16">
        <f>+S264</f>
        <v>10800</v>
      </c>
      <c r="S264" s="16">
        <v>10800</v>
      </c>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46"/>
      <c r="AR264" s="46"/>
      <c r="AS264" s="46"/>
      <c r="AT264" s="46">
        <f>+AU264</f>
        <v>100</v>
      </c>
      <c r="AU264" s="46">
        <v>100</v>
      </c>
      <c r="AV264" s="46"/>
      <c r="AW264" s="46"/>
      <c r="AX264" s="3">
        <f t="shared" si="310"/>
        <v>100</v>
      </c>
      <c r="AY264" s="3">
        <f t="shared" si="302"/>
        <v>100</v>
      </c>
      <c r="AZ264" s="3">
        <f t="shared" si="311"/>
        <v>100</v>
      </c>
      <c r="BA264" s="3">
        <f t="shared" si="304"/>
        <v>10700</v>
      </c>
      <c r="BB264" s="3">
        <f t="shared" si="309"/>
        <v>10700</v>
      </c>
      <c r="BC264" s="16"/>
      <c r="BD264" s="16"/>
      <c r="BE264" s="15"/>
      <c r="BF264" s="125"/>
    </row>
    <row r="265" spans="1:58" s="89" customFormat="1" ht="38.25" customHeight="1">
      <c r="A265" s="242" t="s">
        <v>172</v>
      </c>
      <c r="B265" s="130" t="s">
        <v>496</v>
      </c>
      <c r="C265" s="243"/>
      <c r="D265" s="243"/>
      <c r="E265" s="243"/>
      <c r="F265" s="243"/>
      <c r="G265" s="244"/>
      <c r="H265" s="118"/>
      <c r="I265" s="21"/>
      <c r="J265" s="28">
        <f>J266</f>
        <v>200311</v>
      </c>
      <c r="K265" s="28">
        <f t="shared" ref="K265:BD265" si="312">K266</f>
        <v>112711</v>
      </c>
      <c r="L265" s="28">
        <f t="shared" si="312"/>
        <v>0</v>
      </c>
      <c r="M265" s="28">
        <f t="shared" si="312"/>
        <v>0</v>
      </c>
      <c r="N265" s="28">
        <f t="shared" si="312"/>
        <v>0</v>
      </c>
      <c r="O265" s="28">
        <f t="shared" si="312"/>
        <v>0</v>
      </c>
      <c r="P265" s="28">
        <f t="shared" si="312"/>
        <v>0</v>
      </c>
      <c r="Q265" s="28">
        <f t="shared" si="312"/>
        <v>0</v>
      </c>
      <c r="R265" s="28">
        <f t="shared" si="312"/>
        <v>103811</v>
      </c>
      <c r="S265" s="28">
        <f t="shared" si="312"/>
        <v>58259</v>
      </c>
      <c r="T265" s="28">
        <f t="shared" si="312"/>
        <v>0</v>
      </c>
      <c r="U265" s="28">
        <f t="shared" si="312"/>
        <v>0</v>
      </c>
      <c r="V265" s="28"/>
      <c r="W265" s="28">
        <f t="shared" si="312"/>
        <v>0</v>
      </c>
      <c r="X265" s="28">
        <f t="shared" si="312"/>
        <v>0</v>
      </c>
      <c r="Y265" s="28">
        <f t="shared" si="312"/>
        <v>0</v>
      </c>
      <c r="Z265" s="28">
        <f t="shared" si="312"/>
        <v>0</v>
      </c>
      <c r="AA265" s="28">
        <f t="shared" si="312"/>
        <v>0</v>
      </c>
      <c r="AB265" s="28">
        <f t="shared" si="312"/>
        <v>0</v>
      </c>
      <c r="AC265" s="28">
        <f t="shared" si="312"/>
        <v>0</v>
      </c>
      <c r="AD265" s="28">
        <f t="shared" si="312"/>
        <v>0</v>
      </c>
      <c r="AE265" s="28">
        <f t="shared" si="312"/>
        <v>0</v>
      </c>
      <c r="AF265" s="28">
        <f t="shared" si="312"/>
        <v>0</v>
      </c>
      <c r="AG265" s="28"/>
      <c r="AH265" s="28"/>
      <c r="AI265" s="28">
        <f t="shared" si="312"/>
        <v>0</v>
      </c>
      <c r="AJ265" s="28">
        <f t="shared" si="312"/>
        <v>0</v>
      </c>
      <c r="AK265" s="28">
        <f t="shared" si="312"/>
        <v>0</v>
      </c>
      <c r="AL265" s="28">
        <f t="shared" si="312"/>
        <v>0</v>
      </c>
      <c r="AM265" s="28">
        <f t="shared" si="312"/>
        <v>93</v>
      </c>
      <c r="AN265" s="28">
        <f t="shared" si="312"/>
        <v>93</v>
      </c>
      <c r="AO265" s="28">
        <f t="shared" si="312"/>
        <v>0</v>
      </c>
      <c r="AP265" s="28">
        <f t="shared" si="312"/>
        <v>0</v>
      </c>
      <c r="AQ265" s="28">
        <f t="shared" si="312"/>
        <v>18564</v>
      </c>
      <c r="AR265" s="28">
        <f t="shared" si="312"/>
        <v>18064</v>
      </c>
      <c r="AS265" s="28">
        <f t="shared" si="312"/>
        <v>6064</v>
      </c>
      <c r="AT265" s="28">
        <f t="shared" si="312"/>
        <v>17766</v>
      </c>
      <c r="AU265" s="28">
        <f t="shared" si="312"/>
        <v>17766</v>
      </c>
      <c r="AV265" s="28">
        <f t="shared" si="312"/>
        <v>0</v>
      </c>
      <c r="AW265" s="28">
        <f t="shared" si="312"/>
        <v>0</v>
      </c>
      <c r="AX265" s="9">
        <f t="shared" si="312"/>
        <v>36330</v>
      </c>
      <c r="AY265" s="9">
        <f t="shared" si="312"/>
        <v>23830</v>
      </c>
      <c r="AZ265" s="9">
        <f t="shared" si="312"/>
        <v>23830</v>
      </c>
      <c r="BA265" s="9">
        <f t="shared" si="312"/>
        <v>69529</v>
      </c>
      <c r="BB265" s="9">
        <f t="shared" si="312"/>
        <v>34429</v>
      </c>
      <c r="BC265" s="28">
        <f t="shared" si="312"/>
        <v>0</v>
      </c>
      <c r="BD265" s="28">
        <f t="shared" si="312"/>
        <v>0</v>
      </c>
      <c r="BE265" s="216"/>
    </row>
    <row r="266" spans="1:58" s="125" customFormat="1" ht="30.75" customHeight="1">
      <c r="A266" s="161" t="s">
        <v>166</v>
      </c>
      <c r="B266" s="162" t="s">
        <v>265</v>
      </c>
      <c r="C266" s="245"/>
      <c r="D266" s="245"/>
      <c r="E266" s="245"/>
      <c r="F266" s="245"/>
      <c r="G266" s="246"/>
      <c r="H266" s="124"/>
      <c r="I266" s="19"/>
      <c r="J266" s="44">
        <f t="shared" ref="J266:BD266" si="313">SUM(J267:J277)</f>
        <v>200311</v>
      </c>
      <c r="K266" s="44">
        <f t="shared" si="313"/>
        <v>112711</v>
      </c>
      <c r="L266" s="44">
        <f t="shared" si="313"/>
        <v>0</v>
      </c>
      <c r="M266" s="44">
        <f t="shared" si="313"/>
        <v>0</v>
      </c>
      <c r="N266" s="44">
        <f t="shared" si="313"/>
        <v>0</v>
      </c>
      <c r="O266" s="44">
        <f t="shared" si="313"/>
        <v>0</v>
      </c>
      <c r="P266" s="44">
        <f t="shared" si="313"/>
        <v>0</v>
      </c>
      <c r="Q266" s="44">
        <f t="shared" si="313"/>
        <v>0</v>
      </c>
      <c r="R266" s="44">
        <f t="shared" si="313"/>
        <v>103811</v>
      </c>
      <c r="S266" s="44">
        <f t="shared" si="313"/>
        <v>58259</v>
      </c>
      <c r="T266" s="44">
        <f t="shared" si="313"/>
        <v>0</v>
      </c>
      <c r="U266" s="44">
        <f t="shared" si="313"/>
        <v>0</v>
      </c>
      <c r="V266" s="44">
        <f t="shared" si="313"/>
        <v>0</v>
      </c>
      <c r="W266" s="44">
        <f t="shared" si="313"/>
        <v>0</v>
      </c>
      <c r="X266" s="44">
        <f t="shared" si="313"/>
        <v>0</v>
      </c>
      <c r="Y266" s="44">
        <f t="shared" si="313"/>
        <v>0</v>
      </c>
      <c r="Z266" s="44">
        <f t="shared" si="313"/>
        <v>0</v>
      </c>
      <c r="AA266" s="44">
        <f t="shared" si="313"/>
        <v>0</v>
      </c>
      <c r="AB266" s="44">
        <f t="shared" si="313"/>
        <v>0</v>
      </c>
      <c r="AC266" s="44">
        <f t="shared" si="313"/>
        <v>0</v>
      </c>
      <c r="AD266" s="44">
        <f t="shared" si="313"/>
        <v>0</v>
      </c>
      <c r="AE266" s="44">
        <f t="shared" si="313"/>
        <v>0</v>
      </c>
      <c r="AF266" s="44">
        <f t="shared" si="313"/>
        <v>0</v>
      </c>
      <c r="AG266" s="44">
        <f t="shared" si="313"/>
        <v>0</v>
      </c>
      <c r="AH266" s="44">
        <f t="shared" si="313"/>
        <v>0</v>
      </c>
      <c r="AI266" s="44">
        <f t="shared" si="313"/>
        <v>0</v>
      </c>
      <c r="AJ266" s="44">
        <f t="shared" si="313"/>
        <v>0</v>
      </c>
      <c r="AK266" s="44">
        <f t="shared" si="313"/>
        <v>0</v>
      </c>
      <c r="AL266" s="44">
        <f t="shared" si="313"/>
        <v>0</v>
      </c>
      <c r="AM266" s="44">
        <f t="shared" si="313"/>
        <v>93</v>
      </c>
      <c r="AN266" s="44">
        <f t="shared" si="313"/>
        <v>93</v>
      </c>
      <c r="AO266" s="44">
        <f t="shared" si="313"/>
        <v>0</v>
      </c>
      <c r="AP266" s="44">
        <f t="shared" si="313"/>
        <v>0</v>
      </c>
      <c r="AQ266" s="44">
        <f t="shared" si="313"/>
        <v>18564</v>
      </c>
      <c r="AR266" s="44">
        <f t="shared" si="313"/>
        <v>18064</v>
      </c>
      <c r="AS266" s="44">
        <f t="shared" si="313"/>
        <v>6064</v>
      </c>
      <c r="AT266" s="44">
        <f t="shared" si="313"/>
        <v>17766</v>
      </c>
      <c r="AU266" s="44">
        <f t="shared" si="313"/>
        <v>17766</v>
      </c>
      <c r="AV266" s="44">
        <f t="shared" si="313"/>
        <v>0</v>
      </c>
      <c r="AW266" s="44">
        <f t="shared" si="313"/>
        <v>0</v>
      </c>
      <c r="AX266" s="44">
        <f t="shared" si="313"/>
        <v>36330</v>
      </c>
      <c r="AY266" s="44">
        <f t="shared" si="313"/>
        <v>23830</v>
      </c>
      <c r="AZ266" s="44">
        <f t="shared" si="313"/>
        <v>23830</v>
      </c>
      <c r="BA266" s="44">
        <f t="shared" si="313"/>
        <v>69529</v>
      </c>
      <c r="BB266" s="44">
        <f t="shared" si="313"/>
        <v>34429</v>
      </c>
      <c r="BC266" s="44">
        <f t="shared" si="313"/>
        <v>0</v>
      </c>
      <c r="BD266" s="44">
        <f t="shared" si="313"/>
        <v>0</v>
      </c>
      <c r="BE266" s="241"/>
    </row>
    <row r="267" spans="1:58" ht="44.1" customHeight="1">
      <c r="A267" s="135">
        <v>1</v>
      </c>
      <c r="B267" s="184" t="s">
        <v>497</v>
      </c>
      <c r="C267" s="99" t="s">
        <v>498</v>
      </c>
      <c r="D267" s="137"/>
      <c r="E267" s="99" t="s">
        <v>472</v>
      </c>
      <c r="F267" s="137"/>
      <c r="G267" s="174"/>
      <c r="H267" s="105" t="s">
        <v>125</v>
      </c>
      <c r="I267" s="45" t="s">
        <v>499</v>
      </c>
      <c r="J267" s="151">
        <f>K267</f>
        <v>6000</v>
      </c>
      <c r="K267" s="151">
        <v>6000</v>
      </c>
      <c r="L267" s="3"/>
      <c r="M267" s="3"/>
      <c r="N267" s="3"/>
      <c r="O267" s="3"/>
      <c r="P267" s="3"/>
      <c r="Q267" s="3"/>
      <c r="R267" s="3">
        <f>S267</f>
        <v>3000</v>
      </c>
      <c r="S267" s="3">
        <v>3000</v>
      </c>
      <c r="T267" s="3"/>
      <c r="U267" s="3"/>
      <c r="V267" s="3"/>
      <c r="W267" s="3"/>
      <c r="X267" s="3"/>
      <c r="Y267" s="3"/>
      <c r="Z267" s="3"/>
      <c r="AA267" s="3"/>
      <c r="AB267" s="3"/>
      <c r="AC267" s="3"/>
      <c r="AD267" s="3"/>
      <c r="AE267" s="3"/>
      <c r="AF267" s="3"/>
      <c r="AG267" s="3"/>
      <c r="AH267" s="3"/>
      <c r="AI267" s="3"/>
      <c r="AJ267" s="3"/>
      <c r="AK267" s="3"/>
      <c r="AL267" s="3"/>
      <c r="AM267" s="3">
        <f>AN267</f>
        <v>93</v>
      </c>
      <c r="AN267" s="3">
        <v>93</v>
      </c>
      <c r="AO267" s="3"/>
      <c r="AP267" s="3"/>
      <c r="AQ267" s="12">
        <v>50</v>
      </c>
      <c r="AR267" s="12">
        <f>+AS267</f>
        <v>50</v>
      </c>
      <c r="AS267" s="12">
        <v>50</v>
      </c>
      <c r="AT267" s="12">
        <f>AU267</f>
        <v>2500</v>
      </c>
      <c r="AU267" s="12">
        <v>2500</v>
      </c>
      <c r="AV267" s="12"/>
      <c r="AW267" s="12"/>
      <c r="AX267" s="3">
        <f t="shared" ref="AX267:AX268" si="314">AQ267+AU267</f>
        <v>2550</v>
      </c>
      <c r="AY267" s="3">
        <f t="shared" ref="AY267:AY268" si="315">AZ267</f>
        <v>2550</v>
      </c>
      <c r="AZ267" s="3">
        <f t="shared" ref="AZ267:AZ268" si="316">AS267+AU267</f>
        <v>2550</v>
      </c>
      <c r="BA267" s="3">
        <f t="shared" ref="BA267" si="317">BB267</f>
        <v>450</v>
      </c>
      <c r="BB267" s="3">
        <f>S267-AZ267</f>
        <v>450</v>
      </c>
      <c r="BC267" s="3"/>
      <c r="BD267" s="3"/>
      <c r="BE267" s="147"/>
      <c r="BF267" s="57">
        <f>AU267</f>
        <v>2500</v>
      </c>
    </row>
    <row r="268" spans="1:58" ht="70.5" customHeight="1">
      <c r="A268" s="135">
        <v>2</v>
      </c>
      <c r="B268" s="231" t="s">
        <v>500</v>
      </c>
      <c r="C268" s="99"/>
      <c r="D268" s="99"/>
      <c r="E268" s="99" t="s">
        <v>188</v>
      </c>
      <c r="F268" s="137"/>
      <c r="G268" s="174"/>
      <c r="H268" s="99"/>
      <c r="I268" s="217" t="s">
        <v>501</v>
      </c>
      <c r="J268" s="154">
        <v>62500</v>
      </c>
      <c r="K268" s="154">
        <v>11500</v>
      </c>
      <c r="L268" s="3"/>
      <c r="M268" s="3"/>
      <c r="N268" s="3"/>
      <c r="O268" s="3"/>
      <c r="P268" s="3"/>
      <c r="Q268" s="3"/>
      <c r="R268" s="3">
        <f>+S268+35100</f>
        <v>44100</v>
      </c>
      <c r="S268" s="3">
        <v>9000</v>
      </c>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12">
        <v>12000</v>
      </c>
      <c r="AR268" s="12">
        <v>12000</v>
      </c>
      <c r="AS268" s="12"/>
      <c r="AT268" s="12">
        <f>+AU268</f>
        <v>4180</v>
      </c>
      <c r="AU268" s="12">
        <v>4180</v>
      </c>
      <c r="AV268" s="12"/>
      <c r="AW268" s="12"/>
      <c r="AX268" s="3">
        <f t="shared" si="314"/>
        <v>16180</v>
      </c>
      <c r="AY268" s="3">
        <f t="shared" si="315"/>
        <v>4180</v>
      </c>
      <c r="AZ268" s="3">
        <f t="shared" si="316"/>
        <v>4180</v>
      </c>
      <c r="BA268" s="3">
        <f>BB268+35100</f>
        <v>39920</v>
      </c>
      <c r="BB268" s="3">
        <f>S268-AZ268</f>
        <v>4820</v>
      </c>
      <c r="BC268" s="3"/>
      <c r="BD268" s="3"/>
      <c r="BE268" s="147"/>
    </row>
    <row r="269" spans="1:58" ht="68.25" customHeight="1">
      <c r="A269" s="135">
        <v>3</v>
      </c>
      <c r="B269" s="148" t="s">
        <v>502</v>
      </c>
      <c r="C269" s="99"/>
      <c r="D269" s="99"/>
      <c r="E269" s="99" t="s">
        <v>503</v>
      </c>
      <c r="F269" s="137"/>
      <c r="G269" s="174"/>
      <c r="H269" s="105" t="s">
        <v>215</v>
      </c>
      <c r="I269" s="150" t="s">
        <v>504</v>
      </c>
      <c r="J269" s="154">
        <v>45000</v>
      </c>
      <c r="K269" s="154">
        <f>6500+11000</f>
        <v>17500</v>
      </c>
      <c r="L269" s="3"/>
      <c r="M269" s="3"/>
      <c r="N269" s="3"/>
      <c r="O269" s="3"/>
      <c r="P269" s="3"/>
      <c r="Q269" s="3"/>
      <c r="R269" s="3">
        <f>+S269+500</f>
        <v>11000</v>
      </c>
      <c r="S269" s="3">
        <f>6500+4000</f>
        <v>10500</v>
      </c>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12">
        <f>+AR269+500</f>
        <v>3214</v>
      </c>
      <c r="AR269" s="12">
        <f>+AS269</f>
        <v>2714</v>
      </c>
      <c r="AS269" s="3">
        <v>2714</v>
      </c>
      <c r="AT269" s="12">
        <f>+AU269</f>
        <v>6786</v>
      </c>
      <c r="AU269" s="12">
        <f>2000+4786</f>
        <v>6786</v>
      </c>
      <c r="AV269" s="12"/>
      <c r="AW269" s="12"/>
      <c r="AX269" s="3">
        <f>+AQ269+AU269</f>
        <v>10000</v>
      </c>
      <c r="AY269" s="3">
        <f>+AZ269</f>
        <v>9500</v>
      </c>
      <c r="AZ269" s="3">
        <f>+AS269+AU269</f>
        <v>9500</v>
      </c>
      <c r="BA269" s="3">
        <f>+BB269</f>
        <v>1000</v>
      </c>
      <c r="BB269" s="3">
        <v>1000</v>
      </c>
      <c r="BC269" s="3"/>
      <c r="BD269" s="3"/>
      <c r="BE269" s="147" t="s">
        <v>505</v>
      </c>
    </row>
    <row r="270" spans="1:58" ht="43.5" customHeight="1">
      <c r="A270" s="135">
        <v>4</v>
      </c>
      <c r="B270" s="148" t="s">
        <v>506</v>
      </c>
      <c r="C270" s="99"/>
      <c r="D270" s="99"/>
      <c r="E270" s="99"/>
      <c r="F270" s="137"/>
      <c r="G270" s="174"/>
      <c r="H270" s="105"/>
      <c r="I270" s="196" t="s">
        <v>507</v>
      </c>
      <c r="J270" s="151">
        <v>17000</v>
      </c>
      <c r="K270" s="151">
        <v>17000</v>
      </c>
      <c r="L270" s="3"/>
      <c r="M270" s="3"/>
      <c r="N270" s="3"/>
      <c r="O270" s="3"/>
      <c r="P270" s="3"/>
      <c r="Q270" s="3"/>
      <c r="R270" s="3">
        <f>+S270</f>
        <v>12000</v>
      </c>
      <c r="S270" s="3">
        <v>12000</v>
      </c>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12">
        <f>+AR270</f>
        <v>3300</v>
      </c>
      <c r="AR270" s="12">
        <f>+AS270</f>
        <v>3300</v>
      </c>
      <c r="AS270" s="12">
        <v>3300</v>
      </c>
      <c r="AT270" s="12">
        <f>+AU270</f>
        <v>4000</v>
      </c>
      <c r="AU270" s="12">
        <v>4000</v>
      </c>
      <c r="AV270" s="12"/>
      <c r="AW270" s="12"/>
      <c r="AX270" s="3">
        <f>+AZ270</f>
        <v>7300</v>
      </c>
      <c r="AY270" s="3">
        <f>+AZ270</f>
        <v>7300</v>
      </c>
      <c r="AZ270" s="3">
        <f>+AU270+AQ270</f>
        <v>7300</v>
      </c>
      <c r="BA270" s="3">
        <f t="shared" ref="BA270" si="318">BB270</f>
        <v>4700</v>
      </c>
      <c r="BB270" s="3">
        <f>S270-AZ270</f>
        <v>4700</v>
      </c>
      <c r="BC270" s="3"/>
      <c r="BD270" s="3"/>
      <c r="BE270" s="147"/>
    </row>
    <row r="271" spans="1:58" ht="48.2" customHeight="1">
      <c r="A271" s="135">
        <v>5</v>
      </c>
      <c r="B271" s="247" t="s">
        <v>508</v>
      </c>
      <c r="C271" s="99"/>
      <c r="D271" s="99"/>
      <c r="E271" s="99" t="s">
        <v>509</v>
      </c>
      <c r="F271" s="137"/>
      <c r="G271" s="174"/>
      <c r="H271" s="105" t="s">
        <v>185</v>
      </c>
      <c r="I271" s="196" t="s">
        <v>510</v>
      </c>
      <c r="J271" s="151">
        <v>14850</v>
      </c>
      <c r="K271" s="151">
        <v>14850</v>
      </c>
      <c r="L271" s="3"/>
      <c r="M271" s="3"/>
      <c r="N271" s="3"/>
      <c r="O271" s="3"/>
      <c r="P271" s="3"/>
      <c r="Q271" s="3"/>
      <c r="R271" s="3">
        <f>+S271</f>
        <v>3300</v>
      </c>
      <c r="S271" s="3">
        <v>3300</v>
      </c>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12"/>
      <c r="AR271" s="12"/>
      <c r="AS271" s="12"/>
      <c r="AT271" s="12"/>
      <c r="AU271" s="12"/>
      <c r="AV271" s="12"/>
      <c r="AW271" s="12"/>
      <c r="AX271" s="3"/>
      <c r="AY271" s="3"/>
      <c r="AZ271" s="3"/>
      <c r="BA271" s="3">
        <f>+BB271</f>
        <v>3300</v>
      </c>
      <c r="BB271" s="3">
        <v>3300</v>
      </c>
      <c r="BC271" s="3"/>
      <c r="BD271" s="3"/>
      <c r="BE271" s="147"/>
    </row>
    <row r="272" spans="1:58" s="123" customFormat="1" ht="48.2" customHeight="1">
      <c r="A272" s="135">
        <v>6</v>
      </c>
      <c r="B272" s="148" t="s">
        <v>143</v>
      </c>
      <c r="C272" s="137" t="s">
        <v>435</v>
      </c>
      <c r="D272" s="181"/>
      <c r="E272" s="99" t="s">
        <v>375</v>
      </c>
      <c r="F272" s="181"/>
      <c r="G272" s="181"/>
      <c r="H272" s="138" t="s">
        <v>145</v>
      </c>
      <c r="I272" s="145" t="s">
        <v>146</v>
      </c>
      <c r="J272" s="154">
        <f>+K272</f>
        <v>14500</v>
      </c>
      <c r="K272" s="154">
        <v>14500</v>
      </c>
      <c r="L272" s="25"/>
      <c r="M272" s="25"/>
      <c r="N272" s="25"/>
      <c r="O272" s="25"/>
      <c r="P272" s="25"/>
      <c r="Q272" s="25"/>
      <c r="R272" s="16">
        <v>14500</v>
      </c>
      <c r="S272" s="16">
        <v>4548</v>
      </c>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46"/>
      <c r="AR272" s="46"/>
      <c r="AS272" s="46"/>
      <c r="AT272" s="46">
        <f>+AU272</f>
        <v>200</v>
      </c>
      <c r="AU272" s="46">
        <v>200</v>
      </c>
      <c r="AV272" s="46"/>
      <c r="AW272" s="46"/>
      <c r="AX272" s="3">
        <f t="shared" ref="AX272" si="319">AQ272+AU272</f>
        <v>200</v>
      </c>
      <c r="AY272" s="3">
        <f t="shared" ref="AY272" si="320">AZ272</f>
        <v>200</v>
      </c>
      <c r="AZ272" s="3">
        <f t="shared" ref="AZ272" si="321">AS272+AU272</f>
        <v>200</v>
      </c>
      <c r="BA272" s="3">
        <f t="shared" ref="BA272:BA280" si="322">BB272</f>
        <v>4348</v>
      </c>
      <c r="BB272" s="3">
        <f>S272-AZ272</f>
        <v>4348</v>
      </c>
      <c r="BC272" s="16"/>
      <c r="BD272" s="16"/>
      <c r="BE272" s="15"/>
      <c r="BF272" s="125"/>
    </row>
    <row r="273" spans="1:58" s="123" customFormat="1" ht="48.2" customHeight="1">
      <c r="A273" s="135">
        <v>8</v>
      </c>
      <c r="B273" s="148" t="s">
        <v>511</v>
      </c>
      <c r="C273" s="137"/>
      <c r="D273" s="181"/>
      <c r="E273" s="99"/>
      <c r="F273" s="181"/>
      <c r="G273" s="181"/>
      <c r="H273" s="181"/>
      <c r="I273" s="196" t="s">
        <v>512</v>
      </c>
      <c r="J273" s="34">
        <f>+K273</f>
        <v>6000</v>
      </c>
      <c r="K273" s="34">
        <v>6000</v>
      </c>
      <c r="L273" s="25"/>
      <c r="M273" s="25"/>
      <c r="N273" s="25"/>
      <c r="O273" s="25"/>
      <c r="P273" s="25"/>
      <c r="Q273" s="25"/>
      <c r="R273" s="16">
        <f>+S273</f>
        <v>2000</v>
      </c>
      <c r="S273" s="16">
        <v>2000</v>
      </c>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46"/>
      <c r="AR273" s="46"/>
      <c r="AS273" s="46"/>
      <c r="AT273" s="46"/>
      <c r="AU273" s="46"/>
      <c r="AV273" s="46"/>
      <c r="AW273" s="46"/>
      <c r="AX273" s="3"/>
      <c r="AY273" s="3"/>
      <c r="AZ273" s="3"/>
      <c r="BA273" s="3">
        <f t="shared" si="322"/>
        <v>2000</v>
      </c>
      <c r="BB273" s="3">
        <f>+S273</f>
        <v>2000</v>
      </c>
      <c r="BC273" s="16"/>
      <c r="BD273" s="16"/>
      <c r="BE273" s="15"/>
      <c r="BF273" s="125"/>
    </row>
    <row r="274" spans="1:58" s="123" customFormat="1" ht="42" customHeight="1">
      <c r="A274" s="135">
        <v>9</v>
      </c>
      <c r="B274" s="148" t="s">
        <v>513</v>
      </c>
      <c r="C274" s="137"/>
      <c r="D274" s="181"/>
      <c r="E274" s="99"/>
      <c r="F274" s="181"/>
      <c r="G274" s="181"/>
      <c r="H274" s="181"/>
      <c r="I274" s="248" t="s">
        <v>514</v>
      </c>
      <c r="J274" s="154">
        <f>+K274</f>
        <v>12000</v>
      </c>
      <c r="K274" s="154">
        <v>12000</v>
      </c>
      <c r="L274" s="25"/>
      <c r="M274" s="25"/>
      <c r="N274" s="25"/>
      <c r="O274" s="25"/>
      <c r="P274" s="25"/>
      <c r="Q274" s="25"/>
      <c r="R274" s="16">
        <f t="shared" ref="R274:R280" si="323">+S274</f>
        <v>4630</v>
      </c>
      <c r="S274" s="16">
        <v>4630</v>
      </c>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46"/>
      <c r="AR274" s="46"/>
      <c r="AS274" s="46"/>
      <c r="AT274" s="46"/>
      <c r="AU274" s="46"/>
      <c r="AV274" s="46"/>
      <c r="AW274" s="46"/>
      <c r="AX274" s="3"/>
      <c r="AY274" s="3"/>
      <c r="AZ274" s="3"/>
      <c r="BA274" s="3">
        <f t="shared" si="322"/>
        <v>4630</v>
      </c>
      <c r="BB274" s="3">
        <f t="shared" ref="BB274:BB276" si="324">+S274</f>
        <v>4630</v>
      </c>
      <c r="BC274" s="16"/>
      <c r="BD274" s="16"/>
      <c r="BE274" s="15" t="s">
        <v>142</v>
      </c>
      <c r="BF274" s="125"/>
    </row>
    <row r="275" spans="1:58" s="123" customFormat="1" ht="53.45" customHeight="1">
      <c r="A275" s="135">
        <v>10</v>
      </c>
      <c r="B275" s="176" t="s">
        <v>515</v>
      </c>
      <c r="C275" s="137"/>
      <c r="D275" s="181"/>
      <c r="E275" s="99"/>
      <c r="F275" s="181"/>
      <c r="G275" s="181"/>
      <c r="H275" s="181"/>
      <c r="I275" s="248" t="s">
        <v>230</v>
      </c>
      <c r="J275" s="178">
        <f>K275</f>
        <v>3300</v>
      </c>
      <c r="K275" s="178">
        <v>3300</v>
      </c>
      <c r="L275" s="25"/>
      <c r="M275" s="25"/>
      <c r="N275" s="25"/>
      <c r="O275" s="25"/>
      <c r="P275" s="25"/>
      <c r="Q275" s="25"/>
      <c r="R275" s="16">
        <f>+S275</f>
        <v>1120</v>
      </c>
      <c r="S275" s="16">
        <v>1120</v>
      </c>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46"/>
      <c r="AR275" s="46"/>
      <c r="AS275" s="46"/>
      <c r="AT275" s="46">
        <f>+AU275</f>
        <v>100</v>
      </c>
      <c r="AU275" s="46">
        <v>100</v>
      </c>
      <c r="AV275" s="46"/>
      <c r="AW275" s="46"/>
      <c r="AX275" s="3">
        <v>100</v>
      </c>
      <c r="AY275" s="3">
        <f>+AZ275</f>
        <v>100</v>
      </c>
      <c r="AZ275" s="3">
        <v>100</v>
      </c>
      <c r="BA275" s="3">
        <f>+BB275</f>
        <v>1020</v>
      </c>
      <c r="BB275" s="3">
        <v>1020</v>
      </c>
      <c r="BC275" s="16"/>
      <c r="BD275" s="16"/>
      <c r="BE275" s="15"/>
      <c r="BF275" s="125"/>
    </row>
    <row r="276" spans="1:58" s="123" customFormat="1" ht="48.2" customHeight="1">
      <c r="A276" s="135">
        <v>11</v>
      </c>
      <c r="B276" s="148" t="s">
        <v>516</v>
      </c>
      <c r="C276" s="137"/>
      <c r="D276" s="181"/>
      <c r="E276" s="99" t="s">
        <v>517</v>
      </c>
      <c r="F276" s="181"/>
      <c r="G276" s="181"/>
      <c r="H276" s="138" t="s">
        <v>175</v>
      </c>
      <c r="I276" s="248" t="s">
        <v>518</v>
      </c>
      <c r="J276" s="173">
        <v>14100</v>
      </c>
      <c r="K276" s="173">
        <v>5000</v>
      </c>
      <c r="L276" s="25"/>
      <c r="M276" s="25"/>
      <c r="N276" s="25"/>
      <c r="O276" s="25"/>
      <c r="P276" s="25"/>
      <c r="Q276" s="25"/>
      <c r="R276" s="16">
        <f t="shared" si="323"/>
        <v>3100</v>
      </c>
      <c r="S276" s="16">
        <v>3100</v>
      </c>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46"/>
      <c r="AR276" s="46"/>
      <c r="AS276" s="46"/>
      <c r="AT276" s="46"/>
      <c r="AU276" s="46"/>
      <c r="AV276" s="46"/>
      <c r="AW276" s="46"/>
      <c r="AX276" s="3"/>
      <c r="AY276" s="3"/>
      <c r="AZ276" s="3"/>
      <c r="BA276" s="3">
        <f t="shared" si="322"/>
        <v>3100</v>
      </c>
      <c r="BB276" s="3">
        <f t="shared" si="324"/>
        <v>3100</v>
      </c>
      <c r="BC276" s="16"/>
      <c r="BD276" s="16"/>
      <c r="BE276" s="249" t="s">
        <v>519</v>
      </c>
      <c r="BF276" s="125"/>
    </row>
    <row r="277" spans="1:58" s="123" customFormat="1" ht="48.2" customHeight="1">
      <c r="A277" s="135">
        <v>12</v>
      </c>
      <c r="B277" s="148" t="s">
        <v>520</v>
      </c>
      <c r="C277" s="137"/>
      <c r="D277" s="181"/>
      <c r="E277" s="99"/>
      <c r="F277" s="181"/>
      <c r="G277" s="181"/>
      <c r="H277" s="181"/>
      <c r="I277" s="217" t="s">
        <v>521</v>
      </c>
      <c r="J277" s="173">
        <f>K277</f>
        <v>5061</v>
      </c>
      <c r="K277" s="173">
        <v>5061</v>
      </c>
      <c r="L277" s="25"/>
      <c r="M277" s="25"/>
      <c r="N277" s="25"/>
      <c r="O277" s="25"/>
      <c r="P277" s="25"/>
      <c r="Q277" s="25"/>
      <c r="R277" s="16">
        <f t="shared" si="323"/>
        <v>5061</v>
      </c>
      <c r="S277" s="16">
        <v>5061</v>
      </c>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46"/>
      <c r="AR277" s="46"/>
      <c r="AS277" s="46"/>
      <c r="AT277" s="46"/>
      <c r="AU277" s="46"/>
      <c r="AV277" s="46"/>
      <c r="AW277" s="46"/>
      <c r="AX277" s="3"/>
      <c r="AY277" s="3"/>
      <c r="AZ277" s="3"/>
      <c r="BA277" s="3">
        <f t="shared" si="322"/>
        <v>5061</v>
      </c>
      <c r="BB277" s="3">
        <v>5061</v>
      </c>
      <c r="BC277" s="16"/>
      <c r="BD277" s="16"/>
      <c r="BE277" s="15" t="s">
        <v>142</v>
      </c>
      <c r="BF277" s="125"/>
    </row>
    <row r="278" spans="1:58" s="123" customFormat="1" ht="30.75" customHeight="1">
      <c r="A278" s="218" t="s">
        <v>137</v>
      </c>
      <c r="B278" s="250" t="s">
        <v>404</v>
      </c>
      <c r="C278" s="251"/>
      <c r="D278" s="181"/>
      <c r="E278" s="121"/>
      <c r="F278" s="181"/>
      <c r="G278" s="181"/>
      <c r="H278" s="181"/>
      <c r="I278" s="252"/>
      <c r="J278" s="253">
        <f>+J279+J280</f>
        <v>136000</v>
      </c>
      <c r="K278" s="253">
        <f t="shared" ref="K278:BB278" si="325">+K279+K280</f>
        <v>40900</v>
      </c>
      <c r="L278" s="253">
        <f t="shared" si="325"/>
        <v>0</v>
      </c>
      <c r="M278" s="253">
        <f t="shared" si="325"/>
        <v>0</v>
      </c>
      <c r="N278" s="253">
        <f t="shared" si="325"/>
        <v>0</v>
      </c>
      <c r="O278" s="253">
        <f t="shared" si="325"/>
        <v>0</v>
      </c>
      <c r="P278" s="253">
        <f t="shared" si="325"/>
        <v>0</v>
      </c>
      <c r="Q278" s="253">
        <f t="shared" si="325"/>
        <v>0</v>
      </c>
      <c r="R278" s="253">
        <f t="shared" si="325"/>
        <v>400</v>
      </c>
      <c r="S278" s="253">
        <f t="shared" si="325"/>
        <v>400</v>
      </c>
      <c r="T278" s="253">
        <f t="shared" si="325"/>
        <v>0</v>
      </c>
      <c r="U278" s="253">
        <f t="shared" si="325"/>
        <v>0</v>
      </c>
      <c r="V278" s="253">
        <f t="shared" si="325"/>
        <v>0</v>
      </c>
      <c r="W278" s="253">
        <f t="shared" si="325"/>
        <v>0</v>
      </c>
      <c r="X278" s="253">
        <f t="shared" si="325"/>
        <v>0</v>
      </c>
      <c r="Y278" s="253">
        <f t="shared" si="325"/>
        <v>0</v>
      </c>
      <c r="Z278" s="253">
        <f t="shared" si="325"/>
        <v>0</v>
      </c>
      <c r="AA278" s="253">
        <f t="shared" si="325"/>
        <v>0</v>
      </c>
      <c r="AB278" s="253">
        <f t="shared" si="325"/>
        <v>0</v>
      </c>
      <c r="AC278" s="253">
        <f t="shared" si="325"/>
        <v>0</v>
      </c>
      <c r="AD278" s="253">
        <f t="shared" si="325"/>
        <v>0</v>
      </c>
      <c r="AE278" s="253">
        <f t="shared" si="325"/>
        <v>0</v>
      </c>
      <c r="AF278" s="253">
        <f t="shared" si="325"/>
        <v>0</v>
      </c>
      <c r="AG278" s="253">
        <f t="shared" si="325"/>
        <v>0</v>
      </c>
      <c r="AH278" s="253">
        <f t="shared" si="325"/>
        <v>0</v>
      </c>
      <c r="AI278" s="253">
        <f t="shared" si="325"/>
        <v>0</v>
      </c>
      <c r="AJ278" s="253">
        <f t="shared" si="325"/>
        <v>0</v>
      </c>
      <c r="AK278" s="253">
        <f t="shared" si="325"/>
        <v>0</v>
      </c>
      <c r="AL278" s="253">
        <f t="shared" si="325"/>
        <v>0</v>
      </c>
      <c r="AM278" s="253">
        <f t="shared" si="325"/>
        <v>0</v>
      </c>
      <c r="AN278" s="253">
        <f t="shared" si="325"/>
        <v>0</v>
      </c>
      <c r="AO278" s="253">
        <f t="shared" si="325"/>
        <v>0</v>
      </c>
      <c r="AP278" s="253">
        <f t="shared" si="325"/>
        <v>0</v>
      </c>
      <c r="AQ278" s="253">
        <f t="shared" si="325"/>
        <v>0</v>
      </c>
      <c r="AR278" s="253">
        <f t="shared" si="325"/>
        <v>0</v>
      </c>
      <c r="AS278" s="253">
        <f t="shared" si="325"/>
        <v>0</v>
      </c>
      <c r="AT278" s="253">
        <f t="shared" si="325"/>
        <v>0</v>
      </c>
      <c r="AU278" s="253">
        <f t="shared" si="325"/>
        <v>0</v>
      </c>
      <c r="AV278" s="253">
        <f t="shared" si="325"/>
        <v>0</v>
      </c>
      <c r="AW278" s="253">
        <f t="shared" si="325"/>
        <v>0</v>
      </c>
      <c r="AX278" s="253">
        <f t="shared" si="325"/>
        <v>0</v>
      </c>
      <c r="AY278" s="253">
        <f t="shared" si="325"/>
        <v>0</v>
      </c>
      <c r="AZ278" s="253">
        <f t="shared" si="325"/>
        <v>0</v>
      </c>
      <c r="BA278" s="253">
        <f t="shared" si="325"/>
        <v>400</v>
      </c>
      <c r="BB278" s="253">
        <f t="shared" si="325"/>
        <v>400</v>
      </c>
      <c r="BC278" s="25"/>
      <c r="BD278" s="25"/>
      <c r="BE278" s="17"/>
      <c r="BF278" s="125"/>
    </row>
    <row r="279" spans="1:58" s="123" customFormat="1" ht="48.2" customHeight="1">
      <c r="A279" s="135">
        <v>13</v>
      </c>
      <c r="B279" s="148" t="s">
        <v>522</v>
      </c>
      <c r="C279" s="137"/>
      <c r="D279" s="181"/>
      <c r="E279" s="99"/>
      <c r="F279" s="181"/>
      <c r="G279" s="181"/>
      <c r="H279" s="181"/>
      <c r="I279" s="217"/>
      <c r="J279" s="173">
        <v>21000</v>
      </c>
      <c r="K279" s="173">
        <v>900</v>
      </c>
      <c r="L279" s="25"/>
      <c r="M279" s="25"/>
      <c r="N279" s="25"/>
      <c r="O279" s="25"/>
      <c r="P279" s="25"/>
      <c r="Q279" s="25"/>
      <c r="R279" s="16">
        <f t="shared" si="323"/>
        <v>200</v>
      </c>
      <c r="S279" s="16">
        <v>200</v>
      </c>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46"/>
      <c r="AR279" s="46"/>
      <c r="AS279" s="46"/>
      <c r="AT279" s="46"/>
      <c r="AU279" s="46"/>
      <c r="AV279" s="46"/>
      <c r="AW279" s="46"/>
      <c r="AX279" s="3"/>
      <c r="AY279" s="3"/>
      <c r="AZ279" s="3"/>
      <c r="BA279" s="3">
        <f t="shared" si="322"/>
        <v>200</v>
      </c>
      <c r="BB279" s="3">
        <v>200</v>
      </c>
      <c r="BC279" s="16"/>
      <c r="BD279" s="16"/>
      <c r="BE279" s="15"/>
      <c r="BF279" s="125"/>
    </row>
    <row r="280" spans="1:58" s="123" customFormat="1" ht="37.5" customHeight="1">
      <c r="A280" s="135">
        <v>14</v>
      </c>
      <c r="B280" s="148" t="s">
        <v>523</v>
      </c>
      <c r="C280" s="181"/>
      <c r="D280" s="181"/>
      <c r="E280" s="181"/>
      <c r="F280" s="181"/>
      <c r="G280" s="181"/>
      <c r="H280" s="181"/>
      <c r="I280" s="217"/>
      <c r="J280" s="173">
        <v>115000</v>
      </c>
      <c r="K280" s="173">
        <v>40000</v>
      </c>
      <c r="L280" s="25"/>
      <c r="M280" s="25"/>
      <c r="N280" s="25"/>
      <c r="O280" s="25"/>
      <c r="P280" s="25"/>
      <c r="Q280" s="25"/>
      <c r="R280" s="16">
        <f t="shared" si="323"/>
        <v>200</v>
      </c>
      <c r="S280" s="16">
        <v>200</v>
      </c>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44"/>
      <c r="AR280" s="44"/>
      <c r="AS280" s="44"/>
      <c r="AT280" s="44"/>
      <c r="AU280" s="44"/>
      <c r="AV280" s="44"/>
      <c r="AW280" s="44"/>
      <c r="AX280" s="25"/>
      <c r="AY280" s="25"/>
      <c r="AZ280" s="25"/>
      <c r="BA280" s="3">
        <f t="shared" si="322"/>
        <v>200</v>
      </c>
      <c r="BB280" s="3">
        <v>200</v>
      </c>
      <c r="BC280" s="25"/>
      <c r="BD280" s="25"/>
      <c r="BE280" s="17"/>
      <c r="BF280" s="125"/>
    </row>
    <row r="281" spans="1:58" ht="30.75" customHeight="1">
      <c r="A281" s="135"/>
      <c r="B281" s="86" t="s">
        <v>90</v>
      </c>
      <c r="C281" s="137"/>
      <c r="D281" s="137"/>
      <c r="E281" s="137"/>
      <c r="F281" s="137"/>
      <c r="G281" s="137"/>
      <c r="H281" s="99"/>
      <c r="I281" s="15"/>
      <c r="J281" s="3"/>
      <c r="K281" s="3"/>
      <c r="L281" s="3"/>
      <c r="M281" s="3"/>
      <c r="N281" s="3"/>
      <c r="O281" s="3"/>
      <c r="P281" s="3"/>
      <c r="Q281" s="3"/>
      <c r="R281" s="3"/>
      <c r="S281" s="112"/>
      <c r="T281" s="3"/>
      <c r="U281" s="3"/>
      <c r="V281" s="3"/>
      <c r="W281" s="3"/>
      <c r="X281" s="3"/>
      <c r="Y281" s="3"/>
      <c r="Z281" s="3"/>
      <c r="AA281" s="3"/>
      <c r="AB281" s="3"/>
      <c r="AC281" s="3"/>
      <c r="AD281" s="3"/>
      <c r="AE281" s="3"/>
      <c r="AF281" s="3"/>
      <c r="AG281" s="3"/>
      <c r="AH281" s="3"/>
      <c r="AI281" s="3"/>
      <c r="AJ281" s="3"/>
      <c r="AK281" s="3"/>
      <c r="AL281" s="3"/>
      <c r="AM281" s="3"/>
      <c r="AN281" s="4">
        <v>41000</v>
      </c>
      <c r="AO281" s="3"/>
      <c r="AP281" s="3"/>
      <c r="AQ281" s="12"/>
      <c r="AR281" s="12"/>
      <c r="AS281" s="12"/>
      <c r="AT281" s="12"/>
      <c r="AU281" s="22"/>
      <c r="AV281" s="12"/>
      <c r="AW281" s="12"/>
      <c r="AX281" s="3"/>
      <c r="AY281" s="3"/>
      <c r="AZ281" s="3"/>
      <c r="BA281" s="3"/>
      <c r="BB281" s="4"/>
      <c r="BC281" s="3"/>
      <c r="BD281" s="3"/>
      <c r="BE281" s="147"/>
    </row>
    <row r="282" spans="1:58" s="115" customFormat="1" ht="33" customHeight="1">
      <c r="A282" s="94" t="s">
        <v>524</v>
      </c>
      <c r="B282" s="95" t="s">
        <v>75</v>
      </c>
      <c r="C282" s="87"/>
      <c r="D282" s="87"/>
      <c r="E282" s="87"/>
      <c r="F282" s="87"/>
      <c r="G282" s="87"/>
      <c r="H282" s="87"/>
      <c r="I282" s="8"/>
      <c r="J282" s="4"/>
      <c r="K282" s="4"/>
      <c r="L282" s="4" t="e">
        <f>L283+#REF!</f>
        <v>#REF!</v>
      </c>
      <c r="M282" s="4" t="e">
        <f>M283+#REF!</f>
        <v>#REF!</v>
      </c>
      <c r="N282" s="4" t="e">
        <f>N283+#REF!</f>
        <v>#REF!</v>
      </c>
      <c r="O282" s="4" t="e">
        <f>O283+#REF!</f>
        <v>#REF!</v>
      </c>
      <c r="P282" s="4" t="e">
        <f>P283+#REF!</f>
        <v>#REF!</v>
      </c>
      <c r="Q282" s="4" t="e">
        <f>Q283+#REF!</f>
        <v>#REF!</v>
      </c>
      <c r="R282" s="4">
        <f>+R283</f>
        <v>6000</v>
      </c>
      <c r="S282" s="4">
        <f t="shared" ref="S282:BB283" si="326">+S283</f>
        <v>6000</v>
      </c>
      <c r="T282" s="4">
        <f t="shared" si="326"/>
        <v>0</v>
      </c>
      <c r="U282" s="4">
        <f t="shared" si="326"/>
        <v>0</v>
      </c>
      <c r="V282" s="4">
        <f t="shared" si="326"/>
        <v>0</v>
      </c>
      <c r="W282" s="4">
        <f t="shared" si="326"/>
        <v>0</v>
      </c>
      <c r="X282" s="4">
        <f t="shared" si="326"/>
        <v>0</v>
      </c>
      <c r="Y282" s="4">
        <f t="shared" si="326"/>
        <v>0</v>
      </c>
      <c r="Z282" s="4">
        <f t="shared" si="326"/>
        <v>0</v>
      </c>
      <c r="AA282" s="4">
        <f t="shared" si="326"/>
        <v>0</v>
      </c>
      <c r="AB282" s="4">
        <f t="shared" si="326"/>
        <v>0</v>
      </c>
      <c r="AC282" s="4">
        <f t="shared" si="326"/>
        <v>0</v>
      </c>
      <c r="AD282" s="4">
        <f t="shared" si="326"/>
        <v>0</v>
      </c>
      <c r="AE282" s="4">
        <f t="shared" si="326"/>
        <v>0</v>
      </c>
      <c r="AF282" s="4">
        <f t="shared" si="326"/>
        <v>0</v>
      </c>
      <c r="AG282" s="4">
        <f t="shared" si="326"/>
        <v>0</v>
      </c>
      <c r="AH282" s="4">
        <f t="shared" si="326"/>
        <v>0</v>
      </c>
      <c r="AI282" s="4">
        <f t="shared" si="326"/>
        <v>0</v>
      </c>
      <c r="AJ282" s="4">
        <f t="shared" si="326"/>
        <v>0</v>
      </c>
      <c r="AK282" s="4">
        <f t="shared" si="326"/>
        <v>0</v>
      </c>
      <c r="AL282" s="4">
        <f t="shared" si="326"/>
        <v>0</v>
      </c>
      <c r="AM282" s="4">
        <f t="shared" si="326"/>
        <v>0</v>
      </c>
      <c r="AN282" s="4">
        <f t="shared" si="326"/>
        <v>0</v>
      </c>
      <c r="AO282" s="4">
        <f t="shared" si="326"/>
        <v>0</v>
      </c>
      <c r="AP282" s="4">
        <f t="shared" si="326"/>
        <v>0</v>
      </c>
      <c r="AQ282" s="4">
        <f t="shared" si="326"/>
        <v>0</v>
      </c>
      <c r="AR282" s="4">
        <f t="shared" si="326"/>
        <v>0</v>
      </c>
      <c r="AS282" s="4">
        <f t="shared" si="326"/>
        <v>0</v>
      </c>
      <c r="AT282" s="4">
        <f t="shared" si="326"/>
        <v>0</v>
      </c>
      <c r="AU282" s="4">
        <f t="shared" si="326"/>
        <v>0</v>
      </c>
      <c r="AV282" s="4">
        <f t="shared" si="326"/>
        <v>0</v>
      </c>
      <c r="AW282" s="4">
        <f t="shared" si="326"/>
        <v>0</v>
      </c>
      <c r="AX282" s="4">
        <f t="shared" si="326"/>
        <v>0</v>
      </c>
      <c r="AY282" s="4">
        <f t="shared" si="326"/>
        <v>0</v>
      </c>
      <c r="AZ282" s="4">
        <f t="shared" si="326"/>
        <v>0</v>
      </c>
      <c r="BA282" s="4">
        <f t="shared" si="326"/>
        <v>6000</v>
      </c>
      <c r="BB282" s="4">
        <f t="shared" si="326"/>
        <v>6000</v>
      </c>
      <c r="BC282" s="4">
        <f t="shared" ref="BC282:BD283" si="327">+BC283</f>
        <v>0</v>
      </c>
      <c r="BD282" s="4">
        <f t="shared" si="327"/>
        <v>0</v>
      </c>
      <c r="BE282" s="254"/>
      <c r="BF282" s="89"/>
    </row>
    <row r="283" spans="1:58" s="89" customFormat="1" ht="36.75" customHeight="1">
      <c r="A283" s="255" t="s">
        <v>525</v>
      </c>
      <c r="B283" s="256" t="s">
        <v>526</v>
      </c>
      <c r="C283" s="87"/>
      <c r="D283" s="87"/>
      <c r="E283" s="87"/>
      <c r="F283" s="87"/>
      <c r="G283" s="87"/>
      <c r="H283" s="87"/>
      <c r="I283" s="5"/>
      <c r="J283" s="4"/>
      <c r="K283" s="4"/>
      <c r="L283" s="4" t="e">
        <f>#REF!+#REF!+#REF!+L284</f>
        <v>#REF!</v>
      </c>
      <c r="M283" s="4" t="e">
        <f>#REF!+#REF!+#REF!+M284</f>
        <v>#REF!</v>
      </c>
      <c r="N283" s="4" t="e">
        <f>#REF!+#REF!+#REF!+N284</f>
        <v>#REF!</v>
      </c>
      <c r="O283" s="4" t="e">
        <f>#REF!+#REF!+#REF!+O284</f>
        <v>#REF!</v>
      </c>
      <c r="P283" s="4" t="e">
        <f>#REF!+#REF!+#REF!+P284</f>
        <v>#REF!</v>
      </c>
      <c r="Q283" s="4" t="e">
        <f>#REF!+#REF!+#REF!+Q284</f>
        <v>#REF!</v>
      </c>
      <c r="R283" s="4">
        <f>+R284</f>
        <v>6000</v>
      </c>
      <c r="S283" s="4">
        <f t="shared" si="326"/>
        <v>6000</v>
      </c>
      <c r="T283" s="4">
        <f t="shared" si="326"/>
        <v>0</v>
      </c>
      <c r="U283" s="4">
        <f t="shared" si="326"/>
        <v>0</v>
      </c>
      <c r="V283" s="4">
        <f t="shared" si="326"/>
        <v>0</v>
      </c>
      <c r="W283" s="4">
        <f t="shared" si="326"/>
        <v>0</v>
      </c>
      <c r="X283" s="4">
        <f t="shared" si="326"/>
        <v>0</v>
      </c>
      <c r="Y283" s="4">
        <f t="shared" si="326"/>
        <v>0</v>
      </c>
      <c r="Z283" s="4">
        <f t="shared" si="326"/>
        <v>0</v>
      </c>
      <c r="AA283" s="4">
        <f t="shared" si="326"/>
        <v>0</v>
      </c>
      <c r="AB283" s="4">
        <f t="shared" si="326"/>
        <v>0</v>
      </c>
      <c r="AC283" s="4">
        <f t="shared" si="326"/>
        <v>0</v>
      </c>
      <c r="AD283" s="4">
        <f t="shared" si="326"/>
        <v>0</v>
      </c>
      <c r="AE283" s="4">
        <f t="shared" si="326"/>
        <v>0</v>
      </c>
      <c r="AF283" s="4">
        <f t="shared" si="326"/>
        <v>0</v>
      </c>
      <c r="AG283" s="4">
        <f t="shared" si="326"/>
        <v>0</v>
      </c>
      <c r="AH283" s="4">
        <f t="shared" si="326"/>
        <v>0</v>
      </c>
      <c r="AI283" s="4">
        <f t="shared" si="326"/>
        <v>0</v>
      </c>
      <c r="AJ283" s="4">
        <f t="shared" si="326"/>
        <v>0</v>
      </c>
      <c r="AK283" s="4">
        <f t="shared" si="326"/>
        <v>0</v>
      </c>
      <c r="AL283" s="4">
        <f t="shared" si="326"/>
        <v>0</v>
      </c>
      <c r="AM283" s="4">
        <f t="shared" si="326"/>
        <v>0</v>
      </c>
      <c r="AN283" s="4">
        <f t="shared" si="326"/>
        <v>0</v>
      </c>
      <c r="AO283" s="4">
        <f t="shared" si="326"/>
        <v>0</v>
      </c>
      <c r="AP283" s="4">
        <f t="shared" si="326"/>
        <v>0</v>
      </c>
      <c r="AQ283" s="4">
        <f t="shared" si="326"/>
        <v>0</v>
      </c>
      <c r="AR283" s="4">
        <f t="shared" si="326"/>
        <v>0</v>
      </c>
      <c r="AS283" s="4">
        <f t="shared" si="326"/>
        <v>0</v>
      </c>
      <c r="AT283" s="4">
        <f t="shared" si="326"/>
        <v>0</v>
      </c>
      <c r="AU283" s="4">
        <f t="shared" si="326"/>
        <v>0</v>
      </c>
      <c r="AV283" s="4">
        <f t="shared" si="326"/>
        <v>0</v>
      </c>
      <c r="AW283" s="4">
        <f t="shared" si="326"/>
        <v>0</v>
      </c>
      <c r="AX283" s="4">
        <f t="shared" si="326"/>
        <v>0</v>
      </c>
      <c r="AY283" s="4">
        <f t="shared" si="326"/>
        <v>0</v>
      </c>
      <c r="AZ283" s="4">
        <f t="shared" si="326"/>
        <v>0</v>
      </c>
      <c r="BA283" s="4">
        <f t="shared" si="326"/>
        <v>6000</v>
      </c>
      <c r="BB283" s="4">
        <f t="shared" si="326"/>
        <v>6000</v>
      </c>
      <c r="BC283" s="4">
        <f t="shared" si="327"/>
        <v>0</v>
      </c>
      <c r="BD283" s="4">
        <f t="shared" si="327"/>
        <v>0</v>
      </c>
      <c r="BE283" s="134"/>
    </row>
    <row r="284" spans="1:58" s="123" customFormat="1" ht="38.25" customHeight="1">
      <c r="A284" s="257" t="s">
        <v>64</v>
      </c>
      <c r="B284" s="258" t="s">
        <v>527</v>
      </c>
      <c r="C284" s="121"/>
      <c r="D284" s="121"/>
      <c r="E284" s="121"/>
      <c r="F284" s="121"/>
      <c r="G284" s="121"/>
      <c r="H284" s="121"/>
      <c r="I284" s="17"/>
      <c r="J284" s="25"/>
      <c r="K284" s="18"/>
      <c r="L284" s="18"/>
      <c r="M284" s="18"/>
      <c r="N284" s="18"/>
      <c r="O284" s="18"/>
      <c r="P284" s="18"/>
      <c r="Q284" s="18"/>
      <c r="R284" s="18">
        <f>+R285+R286+R287+R288</f>
        <v>6000</v>
      </c>
      <c r="S284" s="18">
        <f t="shared" ref="S284:BB284" si="328">+S285+S286+S287+S288</f>
        <v>6000</v>
      </c>
      <c r="T284" s="18">
        <f t="shared" si="328"/>
        <v>0</v>
      </c>
      <c r="U284" s="18">
        <f t="shared" si="328"/>
        <v>0</v>
      </c>
      <c r="V284" s="18">
        <f t="shared" si="328"/>
        <v>0</v>
      </c>
      <c r="W284" s="18">
        <f t="shared" si="328"/>
        <v>0</v>
      </c>
      <c r="X284" s="18">
        <f t="shared" si="328"/>
        <v>0</v>
      </c>
      <c r="Y284" s="18">
        <f t="shared" si="328"/>
        <v>0</v>
      </c>
      <c r="Z284" s="18">
        <f t="shared" si="328"/>
        <v>0</v>
      </c>
      <c r="AA284" s="18">
        <f t="shared" si="328"/>
        <v>0</v>
      </c>
      <c r="AB284" s="18">
        <f t="shared" si="328"/>
        <v>0</v>
      </c>
      <c r="AC284" s="18">
        <f t="shared" si="328"/>
        <v>0</v>
      </c>
      <c r="AD284" s="18">
        <f t="shared" si="328"/>
        <v>0</v>
      </c>
      <c r="AE284" s="18">
        <f t="shared" si="328"/>
        <v>0</v>
      </c>
      <c r="AF284" s="18">
        <f t="shared" si="328"/>
        <v>0</v>
      </c>
      <c r="AG284" s="18">
        <f t="shared" si="328"/>
        <v>0</v>
      </c>
      <c r="AH284" s="18">
        <f t="shared" si="328"/>
        <v>0</v>
      </c>
      <c r="AI284" s="18">
        <f t="shared" si="328"/>
        <v>0</v>
      </c>
      <c r="AJ284" s="18">
        <f t="shared" si="328"/>
        <v>0</v>
      </c>
      <c r="AK284" s="18">
        <f t="shared" si="328"/>
        <v>0</v>
      </c>
      <c r="AL284" s="18">
        <f t="shared" si="328"/>
        <v>0</v>
      </c>
      <c r="AM284" s="18">
        <f t="shared" si="328"/>
        <v>0</v>
      </c>
      <c r="AN284" s="18">
        <f t="shared" si="328"/>
        <v>0</v>
      </c>
      <c r="AO284" s="18">
        <f t="shared" si="328"/>
        <v>0</v>
      </c>
      <c r="AP284" s="18">
        <f t="shared" si="328"/>
        <v>0</v>
      </c>
      <c r="AQ284" s="18">
        <f t="shared" si="328"/>
        <v>0</v>
      </c>
      <c r="AR284" s="18">
        <f t="shared" si="328"/>
        <v>0</v>
      </c>
      <c r="AS284" s="18">
        <f t="shared" si="328"/>
        <v>0</v>
      </c>
      <c r="AT284" s="18">
        <f t="shared" si="328"/>
        <v>0</v>
      </c>
      <c r="AU284" s="18">
        <f t="shared" si="328"/>
        <v>0</v>
      </c>
      <c r="AV284" s="18">
        <f t="shared" si="328"/>
        <v>0</v>
      </c>
      <c r="AW284" s="18">
        <f t="shared" si="328"/>
        <v>0</v>
      </c>
      <c r="AX284" s="18">
        <f t="shared" si="328"/>
        <v>0</v>
      </c>
      <c r="AY284" s="18">
        <f t="shared" si="328"/>
        <v>0</v>
      </c>
      <c r="AZ284" s="18">
        <f t="shared" si="328"/>
        <v>0</v>
      </c>
      <c r="BA284" s="18">
        <f t="shared" si="328"/>
        <v>6000</v>
      </c>
      <c r="BB284" s="18">
        <f t="shared" si="328"/>
        <v>6000</v>
      </c>
      <c r="BC284" s="18">
        <f t="shared" ref="BC284:BD284" si="329">+BC285+BC286</f>
        <v>0</v>
      </c>
      <c r="BD284" s="18">
        <f t="shared" si="329"/>
        <v>0</v>
      </c>
      <c r="BE284" s="259"/>
    </row>
    <row r="285" spans="1:58" s="115" customFormat="1" ht="53.45" customHeight="1">
      <c r="A285" s="260">
        <v>1</v>
      </c>
      <c r="B285" s="261" t="s">
        <v>528</v>
      </c>
      <c r="C285" s="87"/>
      <c r="D285" s="87"/>
      <c r="E285" s="87"/>
      <c r="F285" s="87"/>
      <c r="G285" s="87"/>
      <c r="H285" s="87"/>
      <c r="I285" s="262" t="s">
        <v>529</v>
      </c>
      <c r="J285" s="151">
        <v>7800</v>
      </c>
      <c r="K285" s="151">
        <v>3902</v>
      </c>
      <c r="L285" s="4"/>
      <c r="M285" s="4"/>
      <c r="N285" s="4"/>
      <c r="O285" s="4"/>
      <c r="P285" s="4"/>
      <c r="Q285" s="4"/>
      <c r="R285" s="3">
        <f>+S285</f>
        <v>1500</v>
      </c>
      <c r="S285" s="3">
        <v>1500</v>
      </c>
      <c r="T285" s="4"/>
      <c r="U285" s="3"/>
      <c r="V285" s="3"/>
      <c r="W285" s="3"/>
      <c r="X285" s="3"/>
      <c r="Y285" s="3"/>
      <c r="Z285" s="3"/>
      <c r="AA285" s="3"/>
      <c r="AB285" s="3"/>
      <c r="AC285" s="3"/>
      <c r="AD285" s="3"/>
      <c r="AE285" s="3"/>
      <c r="AF285" s="3"/>
      <c r="AG285" s="3"/>
      <c r="AH285" s="3"/>
      <c r="AI285" s="3"/>
      <c r="AJ285" s="3"/>
      <c r="AK285" s="3"/>
      <c r="AL285" s="3"/>
      <c r="AM285" s="47"/>
      <c r="AN285" s="47"/>
      <c r="AO285" s="47"/>
      <c r="AP285" s="47"/>
      <c r="AQ285" s="47"/>
      <c r="AR285" s="3"/>
      <c r="AS285" s="3"/>
      <c r="AT285" s="3"/>
      <c r="AU285" s="3"/>
      <c r="AV285" s="47"/>
      <c r="AW285" s="47"/>
      <c r="AX285" s="3"/>
      <c r="AY285" s="3"/>
      <c r="AZ285" s="3"/>
      <c r="BA285" s="3">
        <f>+BB285</f>
        <v>1500</v>
      </c>
      <c r="BB285" s="3">
        <v>1500</v>
      </c>
      <c r="BC285" s="47"/>
      <c r="BD285" s="47"/>
      <c r="BE285" s="263"/>
      <c r="BF285" s="89"/>
    </row>
    <row r="286" spans="1:58" s="115" customFormat="1" ht="43.5" customHeight="1">
      <c r="A286" s="260">
        <v>2</v>
      </c>
      <c r="B286" s="261" t="s">
        <v>530</v>
      </c>
      <c r="C286" s="87"/>
      <c r="D286" s="87"/>
      <c r="E286" s="87"/>
      <c r="F286" s="87"/>
      <c r="G286" s="87"/>
      <c r="H286" s="87"/>
      <c r="I286" s="262" t="s">
        <v>531</v>
      </c>
      <c r="J286" s="151">
        <v>7800</v>
      </c>
      <c r="K286" s="151">
        <v>1953</v>
      </c>
      <c r="L286" s="4"/>
      <c r="M286" s="4"/>
      <c r="N286" s="4"/>
      <c r="O286" s="4"/>
      <c r="P286" s="4"/>
      <c r="Q286" s="4"/>
      <c r="R286" s="3">
        <f>+S286</f>
        <v>1500</v>
      </c>
      <c r="S286" s="3">
        <v>1500</v>
      </c>
      <c r="T286" s="4"/>
      <c r="U286" s="3"/>
      <c r="V286" s="3"/>
      <c r="W286" s="3"/>
      <c r="X286" s="3"/>
      <c r="Y286" s="3"/>
      <c r="Z286" s="3"/>
      <c r="AA286" s="3"/>
      <c r="AB286" s="3"/>
      <c r="AC286" s="3"/>
      <c r="AD286" s="3"/>
      <c r="AE286" s="3"/>
      <c r="AF286" s="3"/>
      <c r="AG286" s="3"/>
      <c r="AH286" s="3"/>
      <c r="AI286" s="3"/>
      <c r="AJ286" s="3"/>
      <c r="AK286" s="3"/>
      <c r="AL286" s="3"/>
      <c r="AM286" s="47"/>
      <c r="AN286" s="47"/>
      <c r="AO286" s="47"/>
      <c r="AP286" s="47"/>
      <c r="AQ286" s="47"/>
      <c r="AR286" s="3"/>
      <c r="AS286" s="3"/>
      <c r="AT286" s="3"/>
      <c r="AU286" s="3"/>
      <c r="AV286" s="47"/>
      <c r="AW286" s="47"/>
      <c r="AX286" s="3"/>
      <c r="AY286" s="3"/>
      <c r="AZ286" s="3"/>
      <c r="BA286" s="3">
        <f>+BB286</f>
        <v>1500</v>
      </c>
      <c r="BB286" s="3">
        <v>1500</v>
      </c>
      <c r="BC286" s="47"/>
      <c r="BD286" s="47"/>
      <c r="BE286" s="263"/>
      <c r="BF286" s="89"/>
    </row>
    <row r="287" spans="1:58" s="115" customFormat="1" ht="43.5" customHeight="1">
      <c r="A287" s="260">
        <v>3</v>
      </c>
      <c r="B287" s="261" t="s">
        <v>532</v>
      </c>
      <c r="C287" s="87"/>
      <c r="D287" s="87"/>
      <c r="E287" s="87"/>
      <c r="F287" s="87"/>
      <c r="G287" s="87"/>
      <c r="H287" s="87"/>
      <c r="I287" s="262" t="s">
        <v>533</v>
      </c>
      <c r="J287" s="151">
        <v>12000</v>
      </c>
      <c r="K287" s="151">
        <v>6750</v>
      </c>
      <c r="L287" s="4"/>
      <c r="M287" s="4"/>
      <c r="N287" s="4"/>
      <c r="O287" s="4"/>
      <c r="P287" s="4"/>
      <c r="Q287" s="4"/>
      <c r="R287" s="3">
        <f>+S287</f>
        <v>1500</v>
      </c>
      <c r="S287" s="3">
        <v>1500</v>
      </c>
      <c r="T287" s="4"/>
      <c r="U287" s="3"/>
      <c r="V287" s="3"/>
      <c r="W287" s="3"/>
      <c r="X287" s="3"/>
      <c r="Y287" s="3"/>
      <c r="Z287" s="3"/>
      <c r="AA287" s="3"/>
      <c r="AB287" s="3"/>
      <c r="AC287" s="3"/>
      <c r="AD287" s="3"/>
      <c r="AE287" s="3"/>
      <c r="AF287" s="3"/>
      <c r="AG287" s="3"/>
      <c r="AH287" s="3"/>
      <c r="AI287" s="3"/>
      <c r="AJ287" s="3"/>
      <c r="AK287" s="3"/>
      <c r="AL287" s="3"/>
      <c r="AM287" s="47"/>
      <c r="AN287" s="47"/>
      <c r="AO287" s="47"/>
      <c r="AP287" s="47"/>
      <c r="AQ287" s="47"/>
      <c r="AR287" s="3"/>
      <c r="AS287" s="3"/>
      <c r="AT287" s="3"/>
      <c r="AU287" s="3"/>
      <c r="AV287" s="47"/>
      <c r="AW287" s="47"/>
      <c r="AX287" s="3"/>
      <c r="AY287" s="3"/>
      <c r="AZ287" s="3"/>
      <c r="BA287" s="3">
        <f>+BB287</f>
        <v>1500</v>
      </c>
      <c r="BB287" s="3">
        <v>1500</v>
      </c>
      <c r="BC287" s="47"/>
      <c r="BD287" s="47"/>
      <c r="BE287" s="263"/>
      <c r="BF287" s="89"/>
    </row>
    <row r="288" spans="1:58" s="115" customFormat="1" ht="43.5" customHeight="1">
      <c r="A288" s="260">
        <v>4</v>
      </c>
      <c r="B288" s="261" t="s">
        <v>534</v>
      </c>
      <c r="C288" s="87"/>
      <c r="D288" s="87"/>
      <c r="E288" s="87"/>
      <c r="F288" s="87"/>
      <c r="G288" s="87"/>
      <c r="H288" s="87"/>
      <c r="I288" s="262" t="s">
        <v>533</v>
      </c>
      <c r="J288" s="151">
        <v>14900</v>
      </c>
      <c r="K288" s="151">
        <v>3985</v>
      </c>
      <c r="L288" s="4"/>
      <c r="M288" s="4"/>
      <c r="N288" s="4"/>
      <c r="O288" s="4"/>
      <c r="P288" s="4"/>
      <c r="Q288" s="4"/>
      <c r="R288" s="3">
        <f>+S288</f>
        <v>1500</v>
      </c>
      <c r="S288" s="3">
        <v>1500</v>
      </c>
      <c r="T288" s="4"/>
      <c r="U288" s="3"/>
      <c r="V288" s="3"/>
      <c r="W288" s="3"/>
      <c r="X288" s="3"/>
      <c r="Y288" s="3"/>
      <c r="Z288" s="3"/>
      <c r="AA288" s="3"/>
      <c r="AB288" s="3"/>
      <c r="AC288" s="3"/>
      <c r="AD288" s="3"/>
      <c r="AE288" s="3"/>
      <c r="AF288" s="3"/>
      <c r="AG288" s="3"/>
      <c r="AH288" s="3"/>
      <c r="AI288" s="3"/>
      <c r="AJ288" s="3"/>
      <c r="AK288" s="3"/>
      <c r="AL288" s="3"/>
      <c r="AM288" s="47"/>
      <c r="AN288" s="47"/>
      <c r="AO288" s="47"/>
      <c r="AP288" s="47"/>
      <c r="AQ288" s="47"/>
      <c r="AR288" s="3"/>
      <c r="AS288" s="3"/>
      <c r="AT288" s="3"/>
      <c r="AU288" s="3"/>
      <c r="AV288" s="47"/>
      <c r="AW288" s="47"/>
      <c r="AX288" s="3"/>
      <c r="AY288" s="3"/>
      <c r="AZ288" s="3"/>
      <c r="BA288" s="3">
        <f>+BB288</f>
        <v>1500</v>
      </c>
      <c r="BB288" s="3">
        <v>1500</v>
      </c>
      <c r="BC288" s="47"/>
      <c r="BD288" s="47"/>
      <c r="BE288" s="263"/>
      <c r="BF288" s="89"/>
    </row>
    <row r="289" spans="1:60" s="115" customFormat="1" ht="39.75" customHeight="1">
      <c r="A289" s="97" t="s">
        <v>535</v>
      </c>
      <c r="B289" s="100" t="s">
        <v>79</v>
      </c>
      <c r="C289" s="87"/>
      <c r="D289" s="87"/>
      <c r="E289" s="87"/>
      <c r="F289" s="87"/>
      <c r="G289" s="87"/>
      <c r="H289" s="87"/>
      <c r="I289" s="8"/>
      <c r="J289" s="9">
        <f t="shared" ref="J289:BD289" si="330">+J290+J291+J292+J293+J297</f>
        <v>1552849</v>
      </c>
      <c r="K289" s="9">
        <f t="shared" si="330"/>
        <v>715217</v>
      </c>
      <c r="L289" s="9">
        <f t="shared" si="330"/>
        <v>217569</v>
      </c>
      <c r="M289" s="9">
        <f t="shared" si="330"/>
        <v>0</v>
      </c>
      <c r="N289" s="9">
        <f t="shared" si="330"/>
        <v>0</v>
      </c>
      <c r="O289" s="9">
        <f t="shared" si="330"/>
        <v>0</v>
      </c>
      <c r="P289" s="9">
        <f t="shared" si="330"/>
        <v>217569</v>
      </c>
      <c r="Q289" s="9">
        <f t="shared" si="330"/>
        <v>0</v>
      </c>
      <c r="R289" s="9">
        <f t="shared" si="330"/>
        <v>482766</v>
      </c>
      <c r="S289" s="9">
        <f t="shared" si="330"/>
        <v>482766</v>
      </c>
      <c r="T289" s="9">
        <f t="shared" si="330"/>
        <v>0</v>
      </c>
      <c r="U289" s="9">
        <f t="shared" si="330"/>
        <v>0</v>
      </c>
      <c r="V289" s="9">
        <f t="shared" si="330"/>
        <v>726027</v>
      </c>
      <c r="W289" s="9">
        <f t="shared" si="330"/>
        <v>0</v>
      </c>
      <c r="X289" s="9">
        <f t="shared" si="330"/>
        <v>0</v>
      </c>
      <c r="Y289" s="9">
        <f t="shared" si="330"/>
        <v>0</v>
      </c>
      <c r="Z289" s="9">
        <f t="shared" si="330"/>
        <v>0</v>
      </c>
      <c r="AA289" s="9">
        <f t="shared" si="330"/>
        <v>15000</v>
      </c>
      <c r="AB289" s="9">
        <f t="shared" si="330"/>
        <v>15000</v>
      </c>
      <c r="AC289" s="9">
        <f t="shared" si="330"/>
        <v>0</v>
      </c>
      <c r="AD289" s="9">
        <f t="shared" si="330"/>
        <v>0</v>
      </c>
      <c r="AE289" s="9">
        <f t="shared" si="330"/>
        <v>15000</v>
      </c>
      <c r="AF289" s="9">
        <f t="shared" si="330"/>
        <v>15000</v>
      </c>
      <c r="AG289" s="9">
        <f t="shared" si="330"/>
        <v>0</v>
      </c>
      <c r="AH289" s="9">
        <f t="shared" si="330"/>
        <v>0</v>
      </c>
      <c r="AI289" s="9">
        <f t="shared" si="330"/>
        <v>99908</v>
      </c>
      <c r="AJ289" s="9">
        <f t="shared" si="330"/>
        <v>99908</v>
      </c>
      <c r="AK289" s="9">
        <f t="shared" si="330"/>
        <v>0</v>
      </c>
      <c r="AL289" s="9">
        <f t="shared" si="330"/>
        <v>0</v>
      </c>
      <c r="AM289" s="9">
        <f t="shared" si="330"/>
        <v>53500</v>
      </c>
      <c r="AN289" s="9">
        <f t="shared" si="330"/>
        <v>53500</v>
      </c>
      <c r="AO289" s="9">
        <f t="shared" si="330"/>
        <v>0</v>
      </c>
      <c r="AP289" s="9">
        <f t="shared" si="330"/>
        <v>0</v>
      </c>
      <c r="AQ289" s="9">
        <f t="shared" si="330"/>
        <v>780527</v>
      </c>
      <c r="AR289" s="9">
        <f t="shared" si="330"/>
        <v>68500</v>
      </c>
      <c r="AS289" s="9">
        <f t="shared" si="330"/>
        <v>68500</v>
      </c>
      <c r="AT289" s="9">
        <f t="shared" si="330"/>
        <v>56750</v>
      </c>
      <c r="AU289" s="9">
        <f t="shared" si="330"/>
        <v>56750</v>
      </c>
      <c r="AV289" s="9">
        <f t="shared" si="330"/>
        <v>0</v>
      </c>
      <c r="AW289" s="9">
        <f t="shared" si="330"/>
        <v>0</v>
      </c>
      <c r="AX289" s="9">
        <f t="shared" si="330"/>
        <v>837277</v>
      </c>
      <c r="AY289" s="9">
        <f t="shared" si="330"/>
        <v>125250</v>
      </c>
      <c r="AZ289" s="9">
        <f t="shared" si="330"/>
        <v>125250</v>
      </c>
      <c r="BA289" s="9">
        <f t="shared" si="330"/>
        <v>331050</v>
      </c>
      <c r="BB289" s="9">
        <f>+BB290+BB291+BB292+BB293+BB297</f>
        <v>331050</v>
      </c>
      <c r="BC289" s="9">
        <f t="shared" si="330"/>
        <v>0</v>
      </c>
      <c r="BD289" s="9">
        <f t="shared" si="330"/>
        <v>0</v>
      </c>
      <c r="BE289" s="168"/>
      <c r="BF289" s="89"/>
    </row>
    <row r="290" spans="1:60" s="146" customFormat="1" ht="74.099999999999994" customHeight="1">
      <c r="A290" s="155">
        <v>1</v>
      </c>
      <c r="B290" s="194" t="s">
        <v>254</v>
      </c>
      <c r="C290" s="174" t="s">
        <v>255</v>
      </c>
      <c r="D290" s="174"/>
      <c r="E290" s="174" t="s">
        <v>256</v>
      </c>
      <c r="F290" s="174"/>
      <c r="G290" s="99" t="s">
        <v>257</v>
      </c>
      <c r="H290" s="99" t="s">
        <v>258</v>
      </c>
      <c r="I290" s="15" t="s">
        <v>259</v>
      </c>
      <c r="J290" s="3">
        <v>355300</v>
      </c>
      <c r="K290" s="3">
        <v>60000</v>
      </c>
      <c r="L290" s="3">
        <v>217569</v>
      </c>
      <c r="M290" s="3"/>
      <c r="N290" s="3"/>
      <c r="O290" s="3"/>
      <c r="P290" s="3">
        <f>L290+W290</f>
        <v>217569</v>
      </c>
      <c r="Q290" s="3">
        <f>M290+X290</f>
        <v>0</v>
      </c>
      <c r="R290" s="3">
        <v>60000</v>
      </c>
      <c r="S290" s="3">
        <v>60000</v>
      </c>
      <c r="T290" s="3"/>
      <c r="U290" s="3"/>
      <c r="V290" s="3">
        <v>243127</v>
      </c>
      <c r="W290" s="3"/>
      <c r="X290" s="3"/>
      <c r="Y290" s="3"/>
      <c r="Z290" s="3"/>
      <c r="AA290" s="3">
        <v>15000</v>
      </c>
      <c r="AB290" s="3">
        <f>AA290</f>
        <v>15000</v>
      </c>
      <c r="AC290" s="3"/>
      <c r="AD290" s="3"/>
      <c r="AE290" s="3">
        <f>W290+AA290</f>
        <v>15000</v>
      </c>
      <c r="AF290" s="3">
        <f>X290+AB290</f>
        <v>15000</v>
      </c>
      <c r="AG290" s="3"/>
      <c r="AH290" s="3"/>
      <c r="AI290" s="3">
        <f t="shared" ref="AI290:AL290" si="331">AM290</f>
        <v>15000</v>
      </c>
      <c r="AJ290" s="3">
        <f t="shared" si="331"/>
        <v>15000</v>
      </c>
      <c r="AK290" s="3">
        <f t="shared" si="331"/>
        <v>0</v>
      </c>
      <c r="AL290" s="3">
        <f t="shared" si="331"/>
        <v>0</v>
      </c>
      <c r="AM290" s="3">
        <f>AN290</f>
        <v>15000</v>
      </c>
      <c r="AN290" s="3">
        <v>15000</v>
      </c>
      <c r="AO290" s="3"/>
      <c r="AP290" s="3"/>
      <c r="AQ290" s="3">
        <f>243127+19000</f>
        <v>262127</v>
      </c>
      <c r="AR290" s="3">
        <f>AE290+AM290</f>
        <v>30000</v>
      </c>
      <c r="AS290" s="3">
        <f>AF290+AN290</f>
        <v>30000</v>
      </c>
      <c r="AT290" s="3">
        <f>AU290</f>
        <v>20000</v>
      </c>
      <c r="AU290" s="3">
        <v>20000</v>
      </c>
      <c r="AV290" s="3"/>
      <c r="AW290" s="3"/>
      <c r="AX290" s="3">
        <f t="shared" ref="AX290:AX292" si="332">AQ290+AU290</f>
        <v>282127</v>
      </c>
      <c r="AY290" s="3">
        <f t="shared" ref="AY290:AY292" si="333">AZ290</f>
        <v>50000</v>
      </c>
      <c r="AZ290" s="3">
        <f t="shared" ref="AZ290:AZ291" si="334">AS290+AU290</f>
        <v>50000</v>
      </c>
      <c r="BA290" s="3">
        <f t="shared" ref="BA290:BA292" si="335">BB290</f>
        <v>0</v>
      </c>
      <c r="BB290" s="3"/>
      <c r="BC290" s="3"/>
      <c r="BD290" s="3"/>
      <c r="BE290" s="147" t="s">
        <v>536</v>
      </c>
    </row>
    <row r="291" spans="1:60" s="89" customFormat="1" ht="67.7" customHeight="1">
      <c r="A291" s="196">
        <v>2</v>
      </c>
      <c r="B291" s="221" t="s">
        <v>363</v>
      </c>
      <c r="C291" s="212" t="s">
        <v>364</v>
      </c>
      <c r="D291" s="158"/>
      <c r="E291" s="212" t="s">
        <v>365</v>
      </c>
      <c r="F291" s="158"/>
      <c r="G291" s="264" t="s">
        <v>605</v>
      </c>
      <c r="H291" s="48" t="s">
        <v>367</v>
      </c>
      <c r="I291" s="304" t="s">
        <v>604</v>
      </c>
      <c r="J291" s="265">
        <v>439300</v>
      </c>
      <c r="K291" s="265">
        <v>70000</v>
      </c>
      <c r="L291" s="9"/>
      <c r="M291" s="9"/>
      <c r="N291" s="9"/>
      <c r="O291" s="9"/>
      <c r="P291" s="3"/>
      <c r="Q291" s="3"/>
      <c r="R291" s="3">
        <f>S291</f>
        <v>35000</v>
      </c>
      <c r="S291" s="3">
        <f>40000-5000</f>
        <v>35000</v>
      </c>
      <c r="T291" s="4"/>
      <c r="U291" s="4"/>
      <c r="V291" s="3">
        <v>310000</v>
      </c>
      <c r="W291" s="9"/>
      <c r="X291" s="9"/>
      <c r="Y291" s="9"/>
      <c r="Z291" s="9"/>
      <c r="AA291" s="9"/>
      <c r="AB291" s="9"/>
      <c r="AC291" s="9"/>
      <c r="AD291" s="9"/>
      <c r="AE291" s="3"/>
      <c r="AF291" s="3"/>
      <c r="AG291" s="3"/>
      <c r="AH291" s="3"/>
      <c r="AI291" s="3">
        <v>84908</v>
      </c>
      <c r="AJ291" s="3">
        <f>AI291</f>
        <v>84908</v>
      </c>
      <c r="AK291" s="4"/>
      <c r="AL291" s="4"/>
      <c r="AM291" s="16">
        <f>AN291</f>
        <v>11500</v>
      </c>
      <c r="AN291" s="16">
        <v>11500</v>
      </c>
      <c r="AO291" s="9"/>
      <c r="AP291" s="9"/>
      <c r="AQ291" s="46">
        <f>310000+17500</f>
        <v>327500</v>
      </c>
      <c r="AR291" s="12">
        <f t="shared" ref="AR291:AS292" si="336">AE291+AM291</f>
        <v>11500</v>
      </c>
      <c r="AS291" s="12">
        <f t="shared" si="336"/>
        <v>11500</v>
      </c>
      <c r="AT291" s="46">
        <f>AU291</f>
        <v>14250</v>
      </c>
      <c r="AU291" s="46">
        <v>14250</v>
      </c>
      <c r="AV291" s="28"/>
      <c r="AW291" s="28"/>
      <c r="AX291" s="3">
        <f t="shared" si="332"/>
        <v>341750</v>
      </c>
      <c r="AY291" s="3">
        <f t="shared" si="333"/>
        <v>25750</v>
      </c>
      <c r="AZ291" s="3">
        <f t="shared" si="334"/>
        <v>25750</v>
      </c>
      <c r="BA291" s="3">
        <f t="shared" si="335"/>
        <v>7550</v>
      </c>
      <c r="BB291" s="3">
        <f>S291-AZ291-1000-700</f>
        <v>7550</v>
      </c>
      <c r="BC291" s="9"/>
      <c r="BD291" s="9"/>
      <c r="BE291" s="168"/>
    </row>
    <row r="292" spans="1:60" s="89" customFormat="1" ht="42" customHeight="1">
      <c r="A292" s="196">
        <v>3</v>
      </c>
      <c r="B292" s="266" t="s">
        <v>537</v>
      </c>
      <c r="C292" s="267" t="s">
        <v>538</v>
      </c>
      <c r="D292" s="148"/>
      <c r="E292" s="267" t="s">
        <v>375</v>
      </c>
      <c r="F292" s="148"/>
      <c r="G292" s="264"/>
      <c r="H292" s="105" t="s">
        <v>539</v>
      </c>
      <c r="I292" s="105" t="s">
        <v>540</v>
      </c>
      <c r="J292" s="268">
        <v>236032</v>
      </c>
      <c r="K292" s="268">
        <v>63000</v>
      </c>
      <c r="L292" s="28"/>
      <c r="M292" s="28"/>
      <c r="N292" s="28"/>
      <c r="O292" s="28"/>
      <c r="P292" s="3"/>
      <c r="Q292" s="3"/>
      <c r="R292" s="12">
        <f>S292</f>
        <v>63000</v>
      </c>
      <c r="S292" s="12">
        <v>63000</v>
      </c>
      <c r="T292" s="22"/>
      <c r="U292" s="22"/>
      <c r="V292" s="3">
        <v>172900</v>
      </c>
      <c r="W292" s="9"/>
      <c r="X292" s="9"/>
      <c r="Y292" s="9"/>
      <c r="Z292" s="9"/>
      <c r="AA292" s="9"/>
      <c r="AB292" s="9"/>
      <c r="AC292" s="9"/>
      <c r="AD292" s="9"/>
      <c r="AE292" s="3"/>
      <c r="AF292" s="3"/>
      <c r="AG292" s="3"/>
      <c r="AH292" s="3"/>
      <c r="AI292" s="3"/>
      <c r="AJ292" s="3"/>
      <c r="AK292" s="4"/>
      <c r="AL292" s="4"/>
      <c r="AM292" s="16">
        <f>AN292</f>
        <v>27000</v>
      </c>
      <c r="AN292" s="16">
        <v>27000</v>
      </c>
      <c r="AO292" s="9"/>
      <c r="AP292" s="9"/>
      <c r="AQ292" s="46">
        <f>172900+18000</f>
        <v>190900</v>
      </c>
      <c r="AR292" s="12">
        <f t="shared" si="336"/>
        <v>27000</v>
      </c>
      <c r="AS292" s="12">
        <f t="shared" si="336"/>
        <v>27000</v>
      </c>
      <c r="AT292" s="46">
        <f>AU292</f>
        <v>22500</v>
      </c>
      <c r="AU292" s="46">
        <v>22500</v>
      </c>
      <c r="AV292" s="28"/>
      <c r="AW292" s="28"/>
      <c r="AX292" s="3">
        <f t="shared" si="332"/>
        <v>213400</v>
      </c>
      <c r="AY292" s="3">
        <f t="shared" si="333"/>
        <v>49500</v>
      </c>
      <c r="AZ292" s="3">
        <f>AS292+AU292</f>
        <v>49500</v>
      </c>
      <c r="BA292" s="3">
        <f t="shared" si="335"/>
        <v>13500</v>
      </c>
      <c r="BB292" s="3">
        <f>S292-AZ292</f>
        <v>13500</v>
      </c>
      <c r="BC292" s="9"/>
      <c r="BD292" s="9"/>
      <c r="BE292" s="269"/>
    </row>
    <row r="293" spans="1:60" s="115" customFormat="1" ht="42" customHeight="1">
      <c r="A293" s="139">
        <v>4</v>
      </c>
      <c r="B293" s="182" t="s">
        <v>541</v>
      </c>
      <c r="C293" s="212"/>
      <c r="D293" s="158"/>
      <c r="E293" s="212"/>
      <c r="F293" s="158"/>
      <c r="G293" s="116"/>
      <c r="H293" s="99"/>
      <c r="I293" s="99"/>
      <c r="J293" s="34">
        <f>+J294+J295+J296</f>
        <v>462217</v>
      </c>
      <c r="K293" s="34">
        <f>+K294+K295+K296</f>
        <v>462217</v>
      </c>
      <c r="L293" s="9"/>
      <c r="M293" s="9"/>
      <c r="N293" s="9"/>
      <c r="O293" s="9"/>
      <c r="P293" s="3"/>
      <c r="Q293" s="3"/>
      <c r="R293" s="3">
        <f>+S293</f>
        <v>300000</v>
      </c>
      <c r="S293" s="3">
        <v>300000</v>
      </c>
      <c r="T293" s="4"/>
      <c r="U293" s="4"/>
      <c r="V293" s="3"/>
      <c r="W293" s="9"/>
      <c r="X293" s="9"/>
      <c r="Y293" s="9"/>
      <c r="Z293" s="9"/>
      <c r="AA293" s="9"/>
      <c r="AB293" s="9"/>
      <c r="AC293" s="9"/>
      <c r="AD293" s="9"/>
      <c r="AE293" s="3"/>
      <c r="AF293" s="3"/>
      <c r="AG293" s="3"/>
      <c r="AH293" s="3"/>
      <c r="AI293" s="3"/>
      <c r="AJ293" s="3"/>
      <c r="AK293" s="4"/>
      <c r="AL293" s="4"/>
      <c r="AM293" s="16"/>
      <c r="AN293" s="16"/>
      <c r="AO293" s="9"/>
      <c r="AP293" s="9"/>
      <c r="AQ293" s="16"/>
      <c r="AR293" s="3"/>
      <c r="AS293" s="3"/>
      <c r="AT293" s="16"/>
      <c r="AU293" s="16"/>
      <c r="AV293" s="9"/>
      <c r="AW293" s="9"/>
      <c r="AX293" s="3"/>
      <c r="AY293" s="3"/>
      <c r="AZ293" s="3"/>
      <c r="BA293" s="3">
        <f>+BA294+BA295+BA296</f>
        <v>300000</v>
      </c>
      <c r="BB293" s="3">
        <f>+BB294+BB295+BB296</f>
        <v>300000</v>
      </c>
      <c r="BC293" s="9"/>
      <c r="BD293" s="9"/>
      <c r="BE293" s="168"/>
      <c r="BH293" s="49"/>
    </row>
    <row r="294" spans="1:60" s="115" customFormat="1" ht="42" customHeight="1">
      <c r="A294" s="139" t="s">
        <v>543</v>
      </c>
      <c r="B294" s="148" t="s">
        <v>544</v>
      </c>
      <c r="C294" s="212"/>
      <c r="D294" s="158"/>
      <c r="E294" s="212" t="s">
        <v>542</v>
      </c>
      <c r="F294" s="158"/>
      <c r="G294" s="116"/>
      <c r="H294" s="270" t="s">
        <v>175</v>
      </c>
      <c r="I294" s="150" t="s">
        <v>545</v>
      </c>
      <c r="J294" s="173">
        <v>260000</v>
      </c>
      <c r="K294" s="173">
        <v>260000</v>
      </c>
      <c r="L294" s="9"/>
      <c r="M294" s="9"/>
      <c r="N294" s="9"/>
      <c r="O294" s="9"/>
      <c r="P294" s="3"/>
      <c r="Q294" s="3"/>
      <c r="R294" s="3">
        <f>+S294</f>
        <v>168752</v>
      </c>
      <c r="S294" s="3">
        <v>168752</v>
      </c>
      <c r="T294" s="4"/>
      <c r="U294" s="4"/>
      <c r="V294" s="3"/>
      <c r="W294" s="9"/>
      <c r="X294" s="9"/>
      <c r="Y294" s="9"/>
      <c r="Z294" s="9"/>
      <c r="AA294" s="9"/>
      <c r="AB294" s="9"/>
      <c r="AC294" s="9"/>
      <c r="AD294" s="9"/>
      <c r="AE294" s="3"/>
      <c r="AF294" s="3"/>
      <c r="AG294" s="3"/>
      <c r="AH294" s="3"/>
      <c r="AI294" s="3"/>
      <c r="AJ294" s="3"/>
      <c r="AK294" s="4"/>
      <c r="AL294" s="4"/>
      <c r="AM294" s="16"/>
      <c r="AN294" s="16"/>
      <c r="AO294" s="9"/>
      <c r="AP294" s="9"/>
      <c r="AQ294" s="16"/>
      <c r="AR294" s="3"/>
      <c r="AS294" s="3"/>
      <c r="AT294" s="16"/>
      <c r="AU294" s="16"/>
      <c r="AV294" s="9"/>
      <c r="AW294" s="9"/>
      <c r="AX294" s="3"/>
      <c r="AY294" s="3"/>
      <c r="AZ294" s="3"/>
      <c r="BA294" s="3">
        <f>+BB294</f>
        <v>168752</v>
      </c>
      <c r="BB294" s="3">
        <f>+S294</f>
        <v>168752</v>
      </c>
      <c r="BC294" s="9"/>
      <c r="BD294" s="9"/>
      <c r="BE294" s="168" t="s">
        <v>142</v>
      </c>
    </row>
    <row r="295" spans="1:60" s="115" customFormat="1" ht="51.75" customHeight="1">
      <c r="A295" s="139" t="s">
        <v>546</v>
      </c>
      <c r="B295" s="148" t="s">
        <v>547</v>
      </c>
      <c r="C295" s="212"/>
      <c r="D295" s="158"/>
      <c r="E295" s="212" t="s">
        <v>542</v>
      </c>
      <c r="F295" s="158"/>
      <c r="G295" s="116"/>
      <c r="H295" s="270" t="s">
        <v>175</v>
      </c>
      <c r="I295" s="150" t="s">
        <v>548</v>
      </c>
      <c r="J295" s="173">
        <f>+K295</f>
        <v>155592</v>
      </c>
      <c r="K295" s="173">
        <v>155592</v>
      </c>
      <c r="L295" s="9"/>
      <c r="M295" s="9"/>
      <c r="N295" s="9"/>
      <c r="O295" s="9"/>
      <c r="P295" s="3"/>
      <c r="Q295" s="3"/>
      <c r="R295" s="3">
        <f t="shared" ref="R295:R296" si="337">+S295</f>
        <v>100986</v>
      </c>
      <c r="S295" s="3">
        <v>100986</v>
      </c>
      <c r="T295" s="4"/>
      <c r="U295" s="4"/>
      <c r="V295" s="3"/>
      <c r="W295" s="9"/>
      <c r="X295" s="9"/>
      <c r="Y295" s="9"/>
      <c r="Z295" s="9"/>
      <c r="AA295" s="9"/>
      <c r="AB295" s="9"/>
      <c r="AC295" s="9"/>
      <c r="AD295" s="9"/>
      <c r="AE295" s="3"/>
      <c r="AF295" s="3"/>
      <c r="AG295" s="3"/>
      <c r="AH295" s="3"/>
      <c r="AI295" s="3"/>
      <c r="AJ295" s="3"/>
      <c r="AK295" s="4"/>
      <c r="AL295" s="4"/>
      <c r="AM295" s="16"/>
      <c r="AN295" s="16"/>
      <c r="AO295" s="9"/>
      <c r="AP295" s="9"/>
      <c r="AQ295" s="16"/>
      <c r="AR295" s="3"/>
      <c r="AS295" s="3"/>
      <c r="AT295" s="16"/>
      <c r="AU295" s="16"/>
      <c r="AV295" s="9"/>
      <c r="AW295" s="9"/>
      <c r="AX295" s="3"/>
      <c r="AY295" s="3"/>
      <c r="AZ295" s="3"/>
      <c r="BA295" s="3">
        <f t="shared" ref="BA295:BA296" si="338">+BB295</f>
        <v>100986</v>
      </c>
      <c r="BB295" s="3">
        <f t="shared" ref="BB295:BB296" si="339">+S295</f>
        <v>100986</v>
      </c>
      <c r="BC295" s="9"/>
      <c r="BD295" s="9"/>
      <c r="BE295" s="168" t="s">
        <v>142</v>
      </c>
    </row>
    <row r="296" spans="1:60" s="115" customFormat="1" ht="42" customHeight="1">
      <c r="A296" s="139" t="s">
        <v>549</v>
      </c>
      <c r="B296" s="148" t="s">
        <v>550</v>
      </c>
      <c r="C296" s="212"/>
      <c r="D296" s="158"/>
      <c r="E296" s="212" t="s">
        <v>542</v>
      </c>
      <c r="F296" s="158"/>
      <c r="G296" s="116"/>
      <c r="H296" s="270" t="s">
        <v>175</v>
      </c>
      <c r="I296" s="150" t="s">
        <v>551</v>
      </c>
      <c r="J296" s="173">
        <f>+K296</f>
        <v>46625</v>
      </c>
      <c r="K296" s="173">
        <v>46625</v>
      </c>
      <c r="L296" s="9"/>
      <c r="M296" s="9"/>
      <c r="N296" s="9"/>
      <c r="O296" s="9"/>
      <c r="P296" s="3"/>
      <c r="Q296" s="3"/>
      <c r="R296" s="3">
        <f t="shared" si="337"/>
        <v>30262</v>
      </c>
      <c r="S296" s="3">
        <v>30262</v>
      </c>
      <c r="T296" s="4"/>
      <c r="U296" s="4"/>
      <c r="V296" s="3"/>
      <c r="W296" s="9"/>
      <c r="X296" s="9"/>
      <c r="Y296" s="9"/>
      <c r="Z296" s="9"/>
      <c r="AA296" s="9"/>
      <c r="AB296" s="9"/>
      <c r="AC296" s="9"/>
      <c r="AD296" s="9"/>
      <c r="AE296" s="3"/>
      <c r="AF296" s="3"/>
      <c r="AG296" s="3"/>
      <c r="AH296" s="3"/>
      <c r="AI296" s="3"/>
      <c r="AJ296" s="3"/>
      <c r="AK296" s="4"/>
      <c r="AL296" s="4"/>
      <c r="AM296" s="16"/>
      <c r="AN296" s="16"/>
      <c r="AO296" s="9"/>
      <c r="AP296" s="9"/>
      <c r="AQ296" s="16"/>
      <c r="AR296" s="3"/>
      <c r="AS296" s="3"/>
      <c r="AT296" s="16"/>
      <c r="AU296" s="16"/>
      <c r="AV296" s="9"/>
      <c r="AW296" s="9"/>
      <c r="AX296" s="3"/>
      <c r="AY296" s="3"/>
      <c r="AZ296" s="3"/>
      <c r="BA296" s="3">
        <f t="shared" si="338"/>
        <v>30262</v>
      </c>
      <c r="BB296" s="3">
        <f t="shared" si="339"/>
        <v>30262</v>
      </c>
      <c r="BC296" s="9"/>
      <c r="BD296" s="9"/>
      <c r="BE296" s="168" t="s">
        <v>142</v>
      </c>
    </row>
    <row r="297" spans="1:60" s="115" customFormat="1" ht="42" customHeight="1">
      <c r="A297" s="139">
        <v>5</v>
      </c>
      <c r="B297" s="182" t="s">
        <v>552</v>
      </c>
      <c r="C297" s="212" t="s">
        <v>374</v>
      </c>
      <c r="D297" s="158"/>
      <c r="E297" s="212" t="s">
        <v>375</v>
      </c>
      <c r="F297" s="158"/>
      <c r="G297" s="116" t="s">
        <v>553</v>
      </c>
      <c r="H297" s="99" t="s">
        <v>175</v>
      </c>
      <c r="I297" s="33" t="s">
        <v>377</v>
      </c>
      <c r="J297" s="34">
        <f>K297</f>
        <v>60000</v>
      </c>
      <c r="K297" s="34">
        <v>60000</v>
      </c>
      <c r="L297" s="9"/>
      <c r="M297" s="9"/>
      <c r="N297" s="9"/>
      <c r="O297" s="9"/>
      <c r="P297" s="3"/>
      <c r="Q297" s="3"/>
      <c r="R297" s="3">
        <f>+S297</f>
        <v>24766</v>
      </c>
      <c r="S297" s="3">
        <f>15000+9766</f>
        <v>24766</v>
      </c>
      <c r="T297" s="4"/>
      <c r="U297" s="4"/>
      <c r="V297" s="3"/>
      <c r="W297" s="9"/>
      <c r="X297" s="9"/>
      <c r="Y297" s="9"/>
      <c r="Z297" s="9"/>
      <c r="AA297" s="9"/>
      <c r="AB297" s="9"/>
      <c r="AC297" s="9"/>
      <c r="AD297" s="9"/>
      <c r="AE297" s="3"/>
      <c r="AF297" s="3"/>
      <c r="AG297" s="3"/>
      <c r="AH297" s="3"/>
      <c r="AI297" s="3"/>
      <c r="AJ297" s="3"/>
      <c r="AK297" s="4"/>
      <c r="AL297" s="4"/>
      <c r="AM297" s="16"/>
      <c r="AN297" s="16"/>
      <c r="AO297" s="9"/>
      <c r="AP297" s="9"/>
      <c r="AQ297" s="16"/>
      <c r="AR297" s="3"/>
      <c r="AS297" s="3"/>
      <c r="AT297" s="16"/>
      <c r="AU297" s="16"/>
      <c r="AV297" s="9"/>
      <c r="AW297" s="9"/>
      <c r="AX297" s="3"/>
      <c r="AY297" s="3"/>
      <c r="AZ297" s="3"/>
      <c r="BA297" s="3">
        <f>+BB297</f>
        <v>10000</v>
      </c>
      <c r="BB297" s="3">
        <v>10000</v>
      </c>
      <c r="BC297" s="9"/>
      <c r="BD297" s="9"/>
      <c r="BE297" s="168"/>
    </row>
    <row r="298" spans="1:60" s="146" customFormat="1" ht="42" customHeight="1">
      <c r="A298" s="255" t="s">
        <v>554</v>
      </c>
      <c r="B298" s="205" t="s">
        <v>555</v>
      </c>
      <c r="C298" s="212"/>
      <c r="D298" s="158"/>
      <c r="E298" s="212"/>
      <c r="F298" s="158"/>
      <c r="G298" s="116"/>
      <c r="H298" s="99"/>
      <c r="I298" s="33"/>
      <c r="J298" s="35">
        <f>+J299</f>
        <v>53000</v>
      </c>
      <c r="K298" s="35">
        <f>+K299</f>
        <v>53000</v>
      </c>
      <c r="L298" s="16"/>
      <c r="M298" s="16"/>
      <c r="N298" s="16"/>
      <c r="O298" s="16"/>
      <c r="P298" s="3"/>
      <c r="Q298" s="3"/>
      <c r="R298" s="271">
        <f>+R299</f>
        <v>700</v>
      </c>
      <c r="S298" s="271">
        <f>+S299</f>
        <v>700</v>
      </c>
      <c r="T298" s="271">
        <f t="shared" ref="T298:BD298" si="340">+T299</f>
        <v>0</v>
      </c>
      <c r="U298" s="271">
        <f t="shared" si="340"/>
        <v>0</v>
      </c>
      <c r="V298" s="271">
        <f t="shared" si="340"/>
        <v>0</v>
      </c>
      <c r="W298" s="271">
        <f t="shared" si="340"/>
        <v>0</v>
      </c>
      <c r="X298" s="271">
        <f t="shared" si="340"/>
        <v>0</v>
      </c>
      <c r="Y298" s="271">
        <f t="shared" si="340"/>
        <v>0</v>
      </c>
      <c r="Z298" s="271">
        <f t="shared" si="340"/>
        <v>0</v>
      </c>
      <c r="AA298" s="271">
        <f t="shared" si="340"/>
        <v>0</v>
      </c>
      <c r="AB298" s="271">
        <f t="shared" si="340"/>
        <v>0</v>
      </c>
      <c r="AC298" s="271">
        <f t="shared" si="340"/>
        <v>0</v>
      </c>
      <c r="AD298" s="271">
        <f t="shared" si="340"/>
        <v>0</v>
      </c>
      <c r="AE298" s="271">
        <f t="shared" si="340"/>
        <v>0</v>
      </c>
      <c r="AF298" s="271">
        <f t="shared" si="340"/>
        <v>0</v>
      </c>
      <c r="AG298" s="271">
        <f t="shared" si="340"/>
        <v>0</v>
      </c>
      <c r="AH298" s="271">
        <f t="shared" si="340"/>
        <v>0</v>
      </c>
      <c r="AI298" s="271">
        <f t="shared" si="340"/>
        <v>0</v>
      </c>
      <c r="AJ298" s="271">
        <f t="shared" si="340"/>
        <v>0</v>
      </c>
      <c r="AK298" s="271">
        <f t="shared" si="340"/>
        <v>0</v>
      </c>
      <c r="AL298" s="271">
        <f t="shared" si="340"/>
        <v>0</v>
      </c>
      <c r="AM298" s="271">
        <f t="shared" si="340"/>
        <v>0</v>
      </c>
      <c r="AN298" s="271">
        <f t="shared" si="340"/>
        <v>0</v>
      </c>
      <c r="AO298" s="271">
        <f t="shared" si="340"/>
        <v>0</v>
      </c>
      <c r="AP298" s="271">
        <f t="shared" si="340"/>
        <v>0</v>
      </c>
      <c r="AQ298" s="271">
        <f t="shared" si="340"/>
        <v>0</v>
      </c>
      <c r="AR298" s="271">
        <f t="shared" si="340"/>
        <v>0</v>
      </c>
      <c r="AS298" s="271">
        <f t="shared" si="340"/>
        <v>0</v>
      </c>
      <c r="AT298" s="271">
        <f t="shared" si="340"/>
        <v>0</v>
      </c>
      <c r="AU298" s="271">
        <f t="shared" si="340"/>
        <v>0</v>
      </c>
      <c r="AV298" s="271">
        <f t="shared" si="340"/>
        <v>0</v>
      </c>
      <c r="AW298" s="271">
        <f t="shared" si="340"/>
        <v>0</v>
      </c>
      <c r="AX298" s="271">
        <f t="shared" si="340"/>
        <v>0</v>
      </c>
      <c r="AY298" s="271">
        <f t="shared" si="340"/>
        <v>0</v>
      </c>
      <c r="AZ298" s="271">
        <f t="shared" si="340"/>
        <v>0</v>
      </c>
      <c r="BA298" s="271">
        <f t="shared" si="340"/>
        <v>700</v>
      </c>
      <c r="BB298" s="271">
        <f t="shared" si="340"/>
        <v>700</v>
      </c>
      <c r="BC298" s="271">
        <f t="shared" si="340"/>
        <v>0</v>
      </c>
      <c r="BD298" s="271">
        <f t="shared" si="340"/>
        <v>0</v>
      </c>
      <c r="BE298" s="168"/>
    </row>
    <row r="299" spans="1:60" s="146" customFormat="1" ht="71.45" customHeight="1">
      <c r="A299" s="264">
        <v>1</v>
      </c>
      <c r="B299" s="148" t="s">
        <v>556</v>
      </c>
      <c r="C299" s="212"/>
      <c r="D299" s="158"/>
      <c r="E299" s="212"/>
      <c r="F299" s="158"/>
      <c r="G299" s="116"/>
      <c r="H299" s="99"/>
      <c r="I299" s="33"/>
      <c r="J299" s="34">
        <f>+K299</f>
        <v>53000</v>
      </c>
      <c r="K299" s="34">
        <v>53000</v>
      </c>
      <c r="L299" s="16"/>
      <c r="M299" s="16"/>
      <c r="N299" s="16"/>
      <c r="O299" s="16"/>
      <c r="P299" s="3"/>
      <c r="Q299" s="3"/>
      <c r="R299" s="272">
        <f>+S299</f>
        <v>700</v>
      </c>
      <c r="S299" s="272">
        <v>700</v>
      </c>
      <c r="T299" s="3"/>
      <c r="U299" s="3"/>
      <c r="V299" s="3"/>
      <c r="W299" s="16"/>
      <c r="X299" s="16"/>
      <c r="Y299" s="16"/>
      <c r="Z299" s="16"/>
      <c r="AA299" s="16"/>
      <c r="AB299" s="16"/>
      <c r="AC299" s="16"/>
      <c r="AD299" s="16"/>
      <c r="AE299" s="3"/>
      <c r="AF299" s="3"/>
      <c r="AG299" s="3"/>
      <c r="AH299" s="3"/>
      <c r="AI299" s="3"/>
      <c r="AJ299" s="3"/>
      <c r="AK299" s="3"/>
      <c r="AL299" s="3"/>
      <c r="AM299" s="16"/>
      <c r="AN299" s="16"/>
      <c r="AO299" s="16"/>
      <c r="AP299" s="16"/>
      <c r="AQ299" s="16"/>
      <c r="AR299" s="3"/>
      <c r="AS299" s="3"/>
      <c r="AT299" s="16"/>
      <c r="AU299" s="16"/>
      <c r="AV299" s="16"/>
      <c r="AW299" s="16"/>
      <c r="AX299" s="3"/>
      <c r="AY299" s="3"/>
      <c r="AZ299" s="3"/>
      <c r="BA299" s="3">
        <f>+BB299</f>
        <v>700</v>
      </c>
      <c r="BB299" s="3">
        <v>700</v>
      </c>
      <c r="BC299" s="16"/>
      <c r="BD299" s="16"/>
      <c r="BE299" s="168" t="s">
        <v>557</v>
      </c>
    </row>
    <row r="300" spans="1:60" s="115" customFormat="1" ht="42" hidden="1" customHeight="1">
      <c r="A300" s="255" t="s">
        <v>558</v>
      </c>
      <c r="B300" s="273" t="s">
        <v>559</v>
      </c>
      <c r="C300" s="274"/>
      <c r="D300" s="273"/>
      <c r="E300" s="274"/>
      <c r="F300" s="273"/>
      <c r="G300" s="255"/>
      <c r="H300" s="87"/>
      <c r="I300" s="275"/>
      <c r="J300" s="35"/>
      <c r="K300" s="35"/>
      <c r="L300" s="9"/>
      <c r="M300" s="9"/>
      <c r="N300" s="9"/>
      <c r="O300" s="9"/>
      <c r="P300" s="4"/>
      <c r="Q300" s="4"/>
      <c r="R300" s="4">
        <f>+R301</f>
        <v>0</v>
      </c>
      <c r="S300" s="4">
        <f t="shared" ref="S300:BD300" si="341">+S301</f>
        <v>0</v>
      </c>
      <c r="T300" s="4">
        <f t="shared" si="341"/>
        <v>0</v>
      </c>
      <c r="U300" s="4">
        <f t="shared" si="341"/>
        <v>0</v>
      </c>
      <c r="V300" s="4">
        <f t="shared" si="341"/>
        <v>0</v>
      </c>
      <c r="W300" s="4">
        <f t="shared" si="341"/>
        <v>0</v>
      </c>
      <c r="X300" s="4">
        <f t="shared" si="341"/>
        <v>0</v>
      </c>
      <c r="Y300" s="4">
        <f t="shared" si="341"/>
        <v>0</v>
      </c>
      <c r="Z300" s="4">
        <f t="shared" si="341"/>
        <v>0</v>
      </c>
      <c r="AA300" s="4">
        <f t="shared" si="341"/>
        <v>0</v>
      </c>
      <c r="AB300" s="4">
        <f t="shared" si="341"/>
        <v>0</v>
      </c>
      <c r="AC300" s="4">
        <f t="shared" si="341"/>
        <v>0</v>
      </c>
      <c r="AD300" s="4">
        <f t="shared" si="341"/>
        <v>0</v>
      </c>
      <c r="AE300" s="4">
        <f t="shared" si="341"/>
        <v>0</v>
      </c>
      <c r="AF300" s="4">
        <f t="shared" si="341"/>
        <v>0</v>
      </c>
      <c r="AG300" s="4">
        <f t="shared" si="341"/>
        <v>0</v>
      </c>
      <c r="AH300" s="4">
        <f t="shared" si="341"/>
        <v>0</v>
      </c>
      <c r="AI300" s="4">
        <f t="shared" si="341"/>
        <v>0</v>
      </c>
      <c r="AJ300" s="4">
        <f t="shared" si="341"/>
        <v>0</v>
      </c>
      <c r="AK300" s="4">
        <f t="shared" si="341"/>
        <v>0</v>
      </c>
      <c r="AL300" s="4">
        <f t="shared" si="341"/>
        <v>0</v>
      </c>
      <c r="AM300" s="4">
        <f t="shared" si="341"/>
        <v>0</v>
      </c>
      <c r="AN300" s="4">
        <f t="shared" si="341"/>
        <v>0</v>
      </c>
      <c r="AO300" s="4">
        <f t="shared" si="341"/>
        <v>0</v>
      </c>
      <c r="AP300" s="4">
        <f t="shared" si="341"/>
        <v>0</v>
      </c>
      <c r="AQ300" s="4">
        <f t="shared" si="341"/>
        <v>0</v>
      </c>
      <c r="AR300" s="4">
        <f t="shared" si="341"/>
        <v>0</v>
      </c>
      <c r="AS300" s="4">
        <f t="shared" si="341"/>
        <v>0</v>
      </c>
      <c r="AT300" s="4">
        <f t="shared" si="341"/>
        <v>0</v>
      </c>
      <c r="AU300" s="4">
        <f t="shared" si="341"/>
        <v>0</v>
      </c>
      <c r="AV300" s="4">
        <f t="shared" si="341"/>
        <v>0</v>
      </c>
      <c r="AW300" s="4">
        <f t="shared" si="341"/>
        <v>0</v>
      </c>
      <c r="AX300" s="4">
        <f t="shared" si="341"/>
        <v>0</v>
      </c>
      <c r="AY300" s="4">
        <f t="shared" si="341"/>
        <v>0</v>
      </c>
      <c r="AZ300" s="4">
        <f t="shared" si="341"/>
        <v>0</v>
      </c>
      <c r="BA300" s="4">
        <f t="shared" si="341"/>
        <v>0</v>
      </c>
      <c r="BB300" s="4">
        <f t="shared" si="341"/>
        <v>0</v>
      </c>
      <c r="BC300" s="4">
        <f t="shared" si="341"/>
        <v>0</v>
      </c>
      <c r="BD300" s="4">
        <f t="shared" si="341"/>
        <v>0</v>
      </c>
      <c r="BE300" s="276"/>
    </row>
    <row r="301" spans="1:60" s="146" customFormat="1" ht="39.75" hidden="1" customHeight="1">
      <c r="A301" s="264"/>
      <c r="B301" s="148" t="s">
        <v>560</v>
      </c>
      <c r="C301" s="212"/>
      <c r="D301" s="158"/>
      <c r="E301" s="212"/>
      <c r="F301" s="158"/>
      <c r="G301" s="116"/>
      <c r="H301" s="99"/>
      <c r="I301" s="33"/>
      <c r="J301" s="34"/>
      <c r="K301" s="34"/>
      <c r="L301" s="16"/>
      <c r="M301" s="16"/>
      <c r="N301" s="16"/>
      <c r="O301" s="16"/>
      <c r="P301" s="3"/>
      <c r="Q301" s="3"/>
      <c r="R301" s="3"/>
      <c r="S301" s="3"/>
      <c r="T301" s="3"/>
      <c r="U301" s="3"/>
      <c r="V301" s="3"/>
      <c r="W301" s="16"/>
      <c r="X301" s="16"/>
      <c r="Y301" s="16"/>
      <c r="Z301" s="16"/>
      <c r="AA301" s="16"/>
      <c r="AB301" s="16"/>
      <c r="AC301" s="16"/>
      <c r="AD301" s="16"/>
      <c r="AE301" s="3"/>
      <c r="AF301" s="3"/>
      <c r="AG301" s="3"/>
      <c r="AH301" s="3"/>
      <c r="AI301" s="3"/>
      <c r="AJ301" s="3"/>
      <c r="AK301" s="3"/>
      <c r="AL301" s="3"/>
      <c r="AM301" s="16"/>
      <c r="AN301" s="16"/>
      <c r="AO301" s="16"/>
      <c r="AP301" s="16"/>
      <c r="AQ301" s="16"/>
      <c r="AR301" s="3"/>
      <c r="AS301" s="3"/>
      <c r="AT301" s="16"/>
      <c r="AU301" s="16"/>
      <c r="AV301" s="16"/>
      <c r="AW301" s="16"/>
      <c r="AX301" s="3"/>
      <c r="AY301" s="3"/>
      <c r="AZ301" s="3"/>
      <c r="BA301" s="3">
        <f>+BB301</f>
        <v>0</v>
      </c>
      <c r="BB301" s="3">
        <f>+S301</f>
        <v>0</v>
      </c>
      <c r="BC301" s="16"/>
      <c r="BD301" s="16"/>
      <c r="BE301" s="168"/>
    </row>
    <row r="302" spans="1:60" s="146" customFormat="1" ht="36.75" customHeight="1">
      <c r="A302" s="277" t="s">
        <v>561</v>
      </c>
      <c r="B302" s="205" t="s">
        <v>562</v>
      </c>
      <c r="C302" s="212"/>
      <c r="D302" s="158"/>
      <c r="E302" s="212"/>
      <c r="F302" s="158"/>
      <c r="G302" s="116"/>
      <c r="H302" s="99"/>
      <c r="I302" s="33"/>
      <c r="J302" s="4">
        <f>+J303+J304</f>
        <v>13607</v>
      </c>
      <c r="K302" s="4">
        <f t="shared" ref="K302:BA302" si="342">+K303+K304</f>
        <v>13607</v>
      </c>
      <c r="L302" s="4">
        <f t="shared" si="342"/>
        <v>0</v>
      </c>
      <c r="M302" s="4">
        <f t="shared" si="342"/>
        <v>0</v>
      </c>
      <c r="N302" s="4">
        <f t="shared" si="342"/>
        <v>0</v>
      </c>
      <c r="O302" s="4">
        <f t="shared" si="342"/>
        <v>0</v>
      </c>
      <c r="P302" s="4">
        <f t="shared" si="342"/>
        <v>0</v>
      </c>
      <c r="Q302" s="4">
        <f t="shared" si="342"/>
        <v>0</v>
      </c>
      <c r="R302" s="4">
        <f t="shared" si="342"/>
        <v>11607</v>
      </c>
      <c r="S302" s="4">
        <f t="shared" si="342"/>
        <v>11607</v>
      </c>
      <c r="T302" s="4">
        <f t="shared" si="342"/>
        <v>0</v>
      </c>
      <c r="U302" s="4">
        <f t="shared" si="342"/>
        <v>0</v>
      </c>
      <c r="V302" s="4">
        <f t="shared" si="342"/>
        <v>0</v>
      </c>
      <c r="W302" s="4">
        <f t="shared" si="342"/>
        <v>0</v>
      </c>
      <c r="X302" s="4">
        <f t="shared" si="342"/>
        <v>0</v>
      </c>
      <c r="Y302" s="4">
        <f t="shared" si="342"/>
        <v>0</v>
      </c>
      <c r="Z302" s="4">
        <f t="shared" si="342"/>
        <v>0</v>
      </c>
      <c r="AA302" s="4">
        <f t="shared" si="342"/>
        <v>0</v>
      </c>
      <c r="AB302" s="4">
        <f t="shared" si="342"/>
        <v>0</v>
      </c>
      <c r="AC302" s="4">
        <f t="shared" si="342"/>
        <v>0</v>
      </c>
      <c r="AD302" s="4">
        <f t="shared" si="342"/>
        <v>0</v>
      </c>
      <c r="AE302" s="4">
        <f t="shared" si="342"/>
        <v>0</v>
      </c>
      <c r="AF302" s="4">
        <f t="shared" si="342"/>
        <v>0</v>
      </c>
      <c r="AG302" s="4">
        <f t="shared" si="342"/>
        <v>0</v>
      </c>
      <c r="AH302" s="4">
        <f t="shared" si="342"/>
        <v>0</v>
      </c>
      <c r="AI302" s="4">
        <f t="shared" si="342"/>
        <v>0</v>
      </c>
      <c r="AJ302" s="4">
        <f t="shared" si="342"/>
        <v>0</v>
      </c>
      <c r="AK302" s="4">
        <f t="shared" si="342"/>
        <v>0</v>
      </c>
      <c r="AL302" s="4">
        <f t="shared" si="342"/>
        <v>0</v>
      </c>
      <c r="AM302" s="4">
        <f t="shared" si="342"/>
        <v>0</v>
      </c>
      <c r="AN302" s="4">
        <f t="shared" si="342"/>
        <v>0</v>
      </c>
      <c r="AO302" s="4">
        <f t="shared" si="342"/>
        <v>0</v>
      </c>
      <c r="AP302" s="4">
        <f t="shared" si="342"/>
        <v>0</v>
      </c>
      <c r="AQ302" s="4">
        <f t="shared" si="342"/>
        <v>0</v>
      </c>
      <c r="AR302" s="4">
        <f t="shared" si="342"/>
        <v>0</v>
      </c>
      <c r="AS302" s="4">
        <f t="shared" si="342"/>
        <v>0</v>
      </c>
      <c r="AT302" s="4">
        <f t="shared" si="342"/>
        <v>0</v>
      </c>
      <c r="AU302" s="4">
        <f t="shared" si="342"/>
        <v>0</v>
      </c>
      <c r="AV302" s="4">
        <f t="shared" si="342"/>
        <v>0</v>
      </c>
      <c r="AW302" s="4">
        <f t="shared" si="342"/>
        <v>0</v>
      </c>
      <c r="AX302" s="4">
        <f t="shared" si="342"/>
        <v>0</v>
      </c>
      <c r="AY302" s="4">
        <f t="shared" si="342"/>
        <v>0</v>
      </c>
      <c r="AZ302" s="4">
        <f t="shared" si="342"/>
        <v>0</v>
      </c>
      <c r="BA302" s="4">
        <f t="shared" si="342"/>
        <v>6607</v>
      </c>
      <c r="BB302" s="4">
        <f>+BB303+BB304</f>
        <v>6607</v>
      </c>
      <c r="BC302" s="4">
        <f t="shared" ref="BC302:BD302" si="343">+BC303+BC304</f>
        <v>0</v>
      </c>
      <c r="BD302" s="4">
        <f t="shared" si="343"/>
        <v>0</v>
      </c>
      <c r="BE302" s="168"/>
    </row>
    <row r="303" spans="1:60" s="146" customFormat="1" ht="42" customHeight="1">
      <c r="A303" s="116">
        <v>1</v>
      </c>
      <c r="B303" s="158" t="s">
        <v>563</v>
      </c>
      <c r="C303" s="212" t="s">
        <v>564</v>
      </c>
      <c r="D303" s="158"/>
      <c r="E303" s="212" t="s">
        <v>565</v>
      </c>
      <c r="F303" s="158"/>
      <c r="G303" s="116"/>
      <c r="H303" s="99" t="s">
        <v>121</v>
      </c>
      <c r="I303" s="33" t="s">
        <v>566</v>
      </c>
      <c r="J303" s="34">
        <f>+K303</f>
        <v>10000</v>
      </c>
      <c r="K303" s="34">
        <v>10000</v>
      </c>
      <c r="L303" s="16"/>
      <c r="M303" s="16"/>
      <c r="N303" s="16"/>
      <c r="O303" s="16"/>
      <c r="P303" s="3"/>
      <c r="Q303" s="3"/>
      <c r="R303" s="3">
        <f>+S303</f>
        <v>8000</v>
      </c>
      <c r="S303" s="3">
        <v>8000</v>
      </c>
      <c r="T303" s="3"/>
      <c r="U303" s="3"/>
      <c r="V303" s="3"/>
      <c r="W303" s="16"/>
      <c r="X303" s="16"/>
      <c r="Y303" s="16"/>
      <c r="Z303" s="16"/>
      <c r="AA303" s="16"/>
      <c r="AB303" s="16"/>
      <c r="AC303" s="16"/>
      <c r="AD303" s="16"/>
      <c r="AE303" s="3"/>
      <c r="AF303" s="3"/>
      <c r="AG303" s="3"/>
      <c r="AH303" s="3"/>
      <c r="AI303" s="3"/>
      <c r="AJ303" s="3"/>
      <c r="AK303" s="3"/>
      <c r="AL303" s="3"/>
      <c r="AM303" s="16"/>
      <c r="AN303" s="16"/>
      <c r="AO303" s="16"/>
      <c r="AP303" s="16"/>
      <c r="AQ303" s="16"/>
      <c r="AR303" s="3"/>
      <c r="AS303" s="3"/>
      <c r="AT303" s="16"/>
      <c r="AU303" s="16"/>
      <c r="AV303" s="16"/>
      <c r="AW303" s="16"/>
      <c r="AX303" s="3"/>
      <c r="AY303" s="3"/>
      <c r="AZ303" s="3"/>
      <c r="BA303" s="3">
        <f>+BB303</f>
        <v>3000</v>
      </c>
      <c r="BB303" s="3">
        <v>3000</v>
      </c>
      <c r="BC303" s="16"/>
      <c r="BD303" s="16"/>
      <c r="BE303" s="168"/>
    </row>
    <row r="304" spans="1:60" s="146" customFormat="1" ht="48.2" customHeight="1">
      <c r="A304" s="116">
        <v>2</v>
      </c>
      <c r="B304" s="158" t="s">
        <v>567</v>
      </c>
      <c r="C304" s="212" t="s">
        <v>564</v>
      </c>
      <c r="D304" s="158"/>
      <c r="E304" s="212" t="s">
        <v>565</v>
      </c>
      <c r="F304" s="158"/>
      <c r="G304" s="116"/>
      <c r="H304" s="99" t="s">
        <v>121</v>
      </c>
      <c r="I304" s="33" t="s">
        <v>568</v>
      </c>
      <c r="J304" s="34">
        <f>K304</f>
        <v>3607</v>
      </c>
      <c r="K304" s="34">
        <v>3607</v>
      </c>
      <c r="L304" s="16"/>
      <c r="M304" s="16"/>
      <c r="N304" s="16"/>
      <c r="O304" s="16"/>
      <c r="P304" s="3"/>
      <c r="Q304" s="3"/>
      <c r="R304" s="3">
        <f>+S304</f>
        <v>3607</v>
      </c>
      <c r="S304" s="3">
        <v>3607</v>
      </c>
      <c r="T304" s="3"/>
      <c r="U304" s="3"/>
      <c r="V304" s="3"/>
      <c r="W304" s="16"/>
      <c r="X304" s="16"/>
      <c r="Y304" s="16"/>
      <c r="Z304" s="16"/>
      <c r="AA304" s="16"/>
      <c r="AB304" s="16"/>
      <c r="AC304" s="16"/>
      <c r="AD304" s="16"/>
      <c r="AE304" s="3"/>
      <c r="AF304" s="3"/>
      <c r="AG304" s="3"/>
      <c r="AH304" s="3"/>
      <c r="AI304" s="3"/>
      <c r="AJ304" s="3"/>
      <c r="AK304" s="3"/>
      <c r="AL304" s="3"/>
      <c r="AM304" s="16"/>
      <c r="AN304" s="16"/>
      <c r="AO304" s="16"/>
      <c r="AP304" s="16"/>
      <c r="AQ304" s="16"/>
      <c r="AR304" s="3"/>
      <c r="AS304" s="3"/>
      <c r="AT304" s="16"/>
      <c r="AU304" s="16"/>
      <c r="AV304" s="16"/>
      <c r="AW304" s="16"/>
      <c r="AX304" s="3"/>
      <c r="AY304" s="3"/>
      <c r="AZ304" s="3"/>
      <c r="BA304" s="3">
        <f>+BB304</f>
        <v>3607</v>
      </c>
      <c r="BB304" s="3">
        <v>3607</v>
      </c>
      <c r="BC304" s="16"/>
      <c r="BD304" s="16"/>
      <c r="BE304" s="168"/>
    </row>
    <row r="305" spans="1:59" s="285" customFormat="1" ht="27.75" customHeight="1">
      <c r="A305" s="278"/>
      <c r="B305" s="279" t="s">
        <v>569</v>
      </c>
      <c r="C305" s="280"/>
      <c r="D305" s="280"/>
      <c r="E305" s="280"/>
      <c r="F305" s="280"/>
      <c r="G305" s="281"/>
      <c r="H305" s="50"/>
      <c r="I305" s="282"/>
      <c r="J305" s="283"/>
      <c r="K305" s="283"/>
      <c r="L305" s="51"/>
      <c r="M305" s="51"/>
      <c r="N305" s="51"/>
      <c r="O305" s="51"/>
      <c r="P305" s="52"/>
      <c r="Q305" s="52"/>
      <c r="R305" s="53"/>
      <c r="S305" s="53"/>
      <c r="T305" s="53"/>
      <c r="U305" s="53"/>
      <c r="V305" s="52"/>
      <c r="W305" s="54"/>
      <c r="X305" s="54"/>
      <c r="Y305" s="54"/>
      <c r="Z305" s="54"/>
      <c r="AA305" s="54"/>
      <c r="AB305" s="54"/>
      <c r="AC305" s="54"/>
      <c r="AD305" s="54"/>
      <c r="AE305" s="52"/>
      <c r="AF305" s="52"/>
      <c r="AG305" s="52"/>
      <c r="AH305" s="52"/>
      <c r="AI305" s="52"/>
      <c r="AJ305" s="52"/>
      <c r="AK305" s="52"/>
      <c r="AL305" s="52"/>
      <c r="AM305" s="54"/>
      <c r="AN305" s="54">
        <v>20000</v>
      </c>
      <c r="AO305" s="54"/>
      <c r="AP305" s="54"/>
      <c r="AQ305" s="51"/>
      <c r="AR305" s="51"/>
      <c r="AS305" s="51"/>
      <c r="AT305" s="51"/>
      <c r="AU305" s="51"/>
      <c r="AV305" s="51"/>
      <c r="AW305" s="51"/>
      <c r="AX305" s="54"/>
      <c r="AY305" s="54"/>
      <c r="AZ305" s="54"/>
      <c r="BA305" s="54"/>
      <c r="BB305" s="54"/>
      <c r="BC305" s="54"/>
      <c r="BD305" s="54"/>
      <c r="BE305" s="284"/>
    </row>
    <row r="306" spans="1:59" s="115" customFormat="1" ht="27.75" customHeight="1">
      <c r="A306" s="286" t="s">
        <v>570</v>
      </c>
      <c r="B306" s="287" t="s">
        <v>571</v>
      </c>
      <c r="C306" s="87"/>
      <c r="D306" s="87"/>
      <c r="E306" s="87"/>
      <c r="F306" s="87"/>
      <c r="G306" s="288"/>
      <c r="H306" s="87"/>
      <c r="I306" s="289"/>
      <c r="J306" s="88">
        <f t="shared" ref="J306:BA306" si="344">J307+J315+J318+J322</f>
        <v>104552</v>
      </c>
      <c r="K306" s="88">
        <f t="shared" si="344"/>
        <v>69552</v>
      </c>
      <c r="L306" s="88">
        <f t="shared" si="344"/>
        <v>0</v>
      </c>
      <c r="M306" s="88">
        <f t="shared" si="344"/>
        <v>0</v>
      </c>
      <c r="N306" s="88">
        <f t="shared" si="344"/>
        <v>0</v>
      </c>
      <c r="O306" s="88">
        <f t="shared" si="344"/>
        <v>0</v>
      </c>
      <c r="P306" s="88">
        <f t="shared" si="344"/>
        <v>0</v>
      </c>
      <c r="Q306" s="88">
        <f t="shared" si="344"/>
        <v>0</v>
      </c>
      <c r="R306" s="88">
        <f t="shared" si="344"/>
        <v>84834</v>
      </c>
      <c r="S306" s="88">
        <f t="shared" si="344"/>
        <v>64834</v>
      </c>
      <c r="T306" s="88">
        <f t="shared" si="344"/>
        <v>0</v>
      </c>
      <c r="U306" s="88">
        <f t="shared" si="344"/>
        <v>0</v>
      </c>
      <c r="V306" s="88">
        <f t="shared" si="344"/>
        <v>0</v>
      </c>
      <c r="W306" s="88">
        <f t="shared" si="344"/>
        <v>0</v>
      </c>
      <c r="X306" s="88">
        <f t="shared" si="344"/>
        <v>0</v>
      </c>
      <c r="Y306" s="88">
        <f t="shared" si="344"/>
        <v>0</v>
      </c>
      <c r="Z306" s="88">
        <f t="shared" si="344"/>
        <v>0</v>
      </c>
      <c r="AA306" s="88">
        <f t="shared" si="344"/>
        <v>0</v>
      </c>
      <c r="AB306" s="88">
        <f t="shared" si="344"/>
        <v>0</v>
      </c>
      <c r="AC306" s="88">
        <f t="shared" si="344"/>
        <v>0</v>
      </c>
      <c r="AD306" s="88">
        <f t="shared" si="344"/>
        <v>0</v>
      </c>
      <c r="AE306" s="88">
        <f t="shared" si="344"/>
        <v>0</v>
      </c>
      <c r="AF306" s="88">
        <f t="shared" si="344"/>
        <v>0</v>
      </c>
      <c r="AG306" s="88">
        <f t="shared" si="344"/>
        <v>0</v>
      </c>
      <c r="AH306" s="88">
        <f t="shared" si="344"/>
        <v>0</v>
      </c>
      <c r="AI306" s="88">
        <f t="shared" si="344"/>
        <v>0</v>
      </c>
      <c r="AJ306" s="88">
        <f t="shared" si="344"/>
        <v>0</v>
      </c>
      <c r="AK306" s="88">
        <f t="shared" si="344"/>
        <v>0</v>
      </c>
      <c r="AL306" s="88">
        <f t="shared" si="344"/>
        <v>0</v>
      </c>
      <c r="AM306" s="88">
        <f t="shared" si="344"/>
        <v>0</v>
      </c>
      <c r="AN306" s="88">
        <f t="shared" si="344"/>
        <v>0</v>
      </c>
      <c r="AO306" s="88">
        <f t="shared" si="344"/>
        <v>0</v>
      </c>
      <c r="AP306" s="88">
        <f t="shared" si="344"/>
        <v>0</v>
      </c>
      <c r="AQ306" s="88">
        <f t="shared" si="344"/>
        <v>0</v>
      </c>
      <c r="AR306" s="88">
        <f t="shared" si="344"/>
        <v>0</v>
      </c>
      <c r="AS306" s="88">
        <f t="shared" si="344"/>
        <v>0</v>
      </c>
      <c r="AT306" s="88">
        <f t="shared" si="344"/>
        <v>0</v>
      </c>
      <c r="AU306" s="88">
        <f t="shared" si="344"/>
        <v>0</v>
      </c>
      <c r="AV306" s="88">
        <f t="shared" si="344"/>
        <v>0</v>
      </c>
      <c r="AW306" s="88">
        <f t="shared" si="344"/>
        <v>0</v>
      </c>
      <c r="AX306" s="88">
        <f t="shared" si="344"/>
        <v>38381</v>
      </c>
      <c r="AY306" s="88">
        <f t="shared" si="344"/>
        <v>59381</v>
      </c>
      <c r="AZ306" s="88">
        <f t="shared" si="344"/>
        <v>38381</v>
      </c>
      <c r="BA306" s="88">
        <f t="shared" si="344"/>
        <v>26000</v>
      </c>
      <c r="BB306" s="88">
        <f>BB307+BB315+BB318+BB322</f>
        <v>26000</v>
      </c>
      <c r="BC306" s="88"/>
      <c r="BD306" s="88"/>
      <c r="BE306" s="290"/>
      <c r="BG306" s="291"/>
    </row>
    <row r="307" spans="1:59" s="115" customFormat="1" ht="29.25" customHeight="1">
      <c r="A307" s="75" t="s">
        <v>92</v>
      </c>
      <c r="B307" s="292" t="s">
        <v>93</v>
      </c>
      <c r="C307" s="87"/>
      <c r="D307" s="87"/>
      <c r="E307" s="87"/>
      <c r="F307" s="87"/>
      <c r="G307" s="288"/>
      <c r="H307" s="87"/>
      <c r="I307" s="289"/>
      <c r="J307" s="88">
        <f t="shared" ref="J307:BA307" si="345">J309+J311+J312+J313+J314</f>
        <v>76452</v>
      </c>
      <c r="K307" s="88">
        <f t="shared" si="345"/>
        <v>41452</v>
      </c>
      <c r="L307" s="88">
        <f t="shared" si="345"/>
        <v>0</v>
      </c>
      <c r="M307" s="88">
        <f t="shared" si="345"/>
        <v>0</v>
      </c>
      <c r="N307" s="88">
        <f t="shared" si="345"/>
        <v>0</v>
      </c>
      <c r="O307" s="88">
        <f t="shared" si="345"/>
        <v>0</v>
      </c>
      <c r="P307" s="88">
        <f t="shared" si="345"/>
        <v>0</v>
      </c>
      <c r="Q307" s="88">
        <f t="shared" si="345"/>
        <v>0</v>
      </c>
      <c r="R307" s="88">
        <f t="shared" si="345"/>
        <v>60864</v>
      </c>
      <c r="S307" s="88">
        <f t="shared" si="345"/>
        <v>40864</v>
      </c>
      <c r="T307" s="88">
        <f t="shared" si="345"/>
        <v>0</v>
      </c>
      <c r="U307" s="88">
        <f t="shared" si="345"/>
        <v>0</v>
      </c>
      <c r="V307" s="88">
        <f t="shared" si="345"/>
        <v>0</v>
      </c>
      <c r="W307" s="88">
        <f t="shared" si="345"/>
        <v>0</v>
      </c>
      <c r="X307" s="88">
        <f t="shared" si="345"/>
        <v>0</v>
      </c>
      <c r="Y307" s="88">
        <f t="shared" si="345"/>
        <v>0</v>
      </c>
      <c r="Z307" s="88">
        <f t="shared" si="345"/>
        <v>0</v>
      </c>
      <c r="AA307" s="88">
        <f t="shared" si="345"/>
        <v>0</v>
      </c>
      <c r="AB307" s="88">
        <f t="shared" si="345"/>
        <v>0</v>
      </c>
      <c r="AC307" s="88">
        <f t="shared" si="345"/>
        <v>0</v>
      </c>
      <c r="AD307" s="88">
        <f t="shared" si="345"/>
        <v>0</v>
      </c>
      <c r="AE307" s="88">
        <f t="shared" si="345"/>
        <v>0</v>
      </c>
      <c r="AF307" s="88">
        <f t="shared" si="345"/>
        <v>0</v>
      </c>
      <c r="AG307" s="88">
        <f t="shared" si="345"/>
        <v>0</v>
      </c>
      <c r="AH307" s="88">
        <f t="shared" si="345"/>
        <v>0</v>
      </c>
      <c r="AI307" s="88">
        <f t="shared" si="345"/>
        <v>0</v>
      </c>
      <c r="AJ307" s="88">
        <f t="shared" si="345"/>
        <v>0</v>
      </c>
      <c r="AK307" s="88">
        <f t="shared" si="345"/>
        <v>0</v>
      </c>
      <c r="AL307" s="88">
        <f t="shared" si="345"/>
        <v>0</v>
      </c>
      <c r="AM307" s="88">
        <f t="shared" si="345"/>
        <v>0</v>
      </c>
      <c r="AN307" s="88">
        <f t="shared" si="345"/>
        <v>0</v>
      </c>
      <c r="AO307" s="88">
        <f t="shared" si="345"/>
        <v>0</v>
      </c>
      <c r="AP307" s="88">
        <f t="shared" si="345"/>
        <v>0</v>
      </c>
      <c r="AQ307" s="88">
        <f t="shared" si="345"/>
        <v>0</v>
      </c>
      <c r="AR307" s="88">
        <f t="shared" si="345"/>
        <v>0</v>
      </c>
      <c r="AS307" s="88">
        <f t="shared" si="345"/>
        <v>0</v>
      </c>
      <c r="AT307" s="88">
        <f t="shared" si="345"/>
        <v>0</v>
      </c>
      <c r="AU307" s="88">
        <f t="shared" si="345"/>
        <v>0</v>
      </c>
      <c r="AV307" s="88">
        <f t="shared" si="345"/>
        <v>0</v>
      </c>
      <c r="AW307" s="88">
        <f t="shared" si="345"/>
        <v>0</v>
      </c>
      <c r="AX307" s="88">
        <f t="shared" si="345"/>
        <v>32481</v>
      </c>
      <c r="AY307" s="88">
        <f t="shared" si="345"/>
        <v>53481</v>
      </c>
      <c r="AZ307" s="88">
        <f t="shared" si="345"/>
        <v>32481</v>
      </c>
      <c r="BA307" s="88">
        <f t="shared" si="345"/>
        <v>8374</v>
      </c>
      <c r="BB307" s="88">
        <f>BB309+BB311+BB312+BB313+BB314</f>
        <v>8374</v>
      </c>
      <c r="BC307" s="88"/>
      <c r="BD307" s="88"/>
      <c r="BE307" s="290"/>
    </row>
    <row r="308" spans="1:59" s="115" customFormat="1" ht="21.75" customHeight="1">
      <c r="A308" s="142"/>
      <c r="B308" s="93" t="s">
        <v>161</v>
      </c>
      <c r="C308" s="87"/>
      <c r="D308" s="87"/>
      <c r="E308" s="87"/>
      <c r="F308" s="87"/>
      <c r="G308" s="288"/>
      <c r="H308" s="87"/>
      <c r="I308" s="289"/>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88"/>
      <c r="AY308" s="88"/>
      <c r="AZ308" s="88"/>
      <c r="BA308" s="88"/>
      <c r="BB308" s="88"/>
      <c r="BC308" s="88"/>
      <c r="BD308" s="88"/>
      <c r="BE308" s="290"/>
    </row>
    <row r="309" spans="1:59" s="115" customFormat="1" ht="58.7" customHeight="1">
      <c r="A309" s="116">
        <v>1</v>
      </c>
      <c r="B309" s="207" t="s">
        <v>572</v>
      </c>
      <c r="C309" s="87"/>
      <c r="D309" s="87"/>
      <c r="E309" s="87"/>
      <c r="F309" s="87"/>
      <c r="G309" s="99" t="s">
        <v>573</v>
      </c>
      <c r="H309" s="99" t="s">
        <v>574</v>
      </c>
      <c r="I309" s="165" t="s">
        <v>575</v>
      </c>
      <c r="J309" s="16">
        <v>47360</v>
      </c>
      <c r="K309" s="16">
        <v>15360</v>
      </c>
      <c r="L309" s="9"/>
      <c r="M309" s="9"/>
      <c r="N309" s="9"/>
      <c r="O309" s="9"/>
      <c r="P309" s="3"/>
      <c r="Q309" s="3"/>
      <c r="R309" s="3">
        <f>20000+S309</f>
        <v>35300</v>
      </c>
      <c r="S309" s="3">
        <v>15300</v>
      </c>
      <c r="T309" s="4"/>
      <c r="U309" s="4"/>
      <c r="V309" s="4"/>
      <c r="W309" s="9"/>
      <c r="X309" s="9"/>
      <c r="Y309" s="9"/>
      <c r="Z309" s="9"/>
      <c r="AA309" s="16"/>
      <c r="AB309" s="16"/>
      <c r="AC309" s="9"/>
      <c r="AD309" s="9"/>
      <c r="AE309" s="4"/>
      <c r="AF309" s="4"/>
      <c r="AG309" s="4"/>
      <c r="AH309" s="4"/>
      <c r="AI309" s="4"/>
      <c r="AJ309" s="4"/>
      <c r="AK309" s="4"/>
      <c r="AL309" s="4"/>
      <c r="AM309" s="16"/>
      <c r="AN309" s="16"/>
      <c r="AO309" s="16"/>
      <c r="AP309" s="9"/>
      <c r="AQ309" s="9"/>
      <c r="AR309" s="9"/>
      <c r="AS309" s="9"/>
      <c r="AT309" s="16"/>
      <c r="AU309" s="16"/>
      <c r="AV309" s="9"/>
      <c r="AW309" s="9"/>
      <c r="AX309" s="16">
        <f>AZ309</f>
        <v>14511</v>
      </c>
      <c r="AY309" s="3">
        <f>20000+AZ309</f>
        <v>34511</v>
      </c>
      <c r="AZ309" s="3">
        <f>7311+7200</f>
        <v>14511</v>
      </c>
      <c r="BA309" s="16">
        <f>BB309</f>
        <v>780</v>
      </c>
      <c r="BB309" s="16">
        <v>780</v>
      </c>
      <c r="BC309" s="9"/>
      <c r="BD309" s="9"/>
      <c r="BE309" s="99"/>
      <c r="BG309" s="146"/>
    </row>
    <row r="310" spans="1:59" s="115" customFormat="1" ht="21.75" customHeight="1">
      <c r="A310" s="119"/>
      <c r="B310" s="293" t="s">
        <v>95</v>
      </c>
      <c r="C310" s="87"/>
      <c r="D310" s="87"/>
      <c r="E310" s="87"/>
      <c r="F310" s="87"/>
      <c r="G310" s="147"/>
      <c r="H310" s="99"/>
      <c r="I310" s="289"/>
      <c r="J310" s="294"/>
      <c r="K310" s="294"/>
      <c r="L310" s="88"/>
      <c r="M310" s="88"/>
      <c r="N310" s="88"/>
      <c r="O310" s="88"/>
      <c r="P310" s="88"/>
      <c r="Q310" s="88"/>
      <c r="R310" s="294"/>
      <c r="S310" s="294"/>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c r="AX310" s="88"/>
      <c r="AY310" s="295"/>
      <c r="AZ310" s="295"/>
      <c r="BA310" s="112"/>
      <c r="BB310" s="112"/>
      <c r="BC310" s="88"/>
      <c r="BD310" s="88"/>
      <c r="BE310" s="290"/>
      <c r="BG310" s="296"/>
    </row>
    <row r="311" spans="1:59" s="115" customFormat="1" ht="30">
      <c r="A311" s="116">
        <v>1</v>
      </c>
      <c r="B311" s="207" t="s">
        <v>576</v>
      </c>
      <c r="C311" s="87"/>
      <c r="D311" s="87"/>
      <c r="E311" s="87"/>
      <c r="F311" s="87"/>
      <c r="G311" s="99" t="s">
        <v>577</v>
      </c>
      <c r="H311" s="99" t="s">
        <v>578</v>
      </c>
      <c r="I311" s="15" t="s">
        <v>579</v>
      </c>
      <c r="J311" s="16">
        <v>5000</v>
      </c>
      <c r="K311" s="16">
        <v>5000</v>
      </c>
      <c r="L311" s="9"/>
      <c r="M311" s="9"/>
      <c r="N311" s="9"/>
      <c r="O311" s="9"/>
      <c r="P311" s="3"/>
      <c r="Q311" s="3"/>
      <c r="R311" s="3">
        <f t="shared" ref="R311:R324" si="346">S311</f>
        <v>4960</v>
      </c>
      <c r="S311" s="3">
        <v>4960</v>
      </c>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v>4850</v>
      </c>
      <c r="AY311" s="16">
        <f>AZ311</f>
        <v>4850</v>
      </c>
      <c r="AZ311" s="16">
        <v>4850</v>
      </c>
      <c r="BA311" s="16">
        <f t="shared" ref="BA311:BA324" si="347">BB311</f>
        <v>110</v>
      </c>
      <c r="BB311" s="16">
        <f t="shared" ref="BB311:BB312" si="348">S311-AZ311</f>
        <v>110</v>
      </c>
      <c r="BC311" s="9"/>
      <c r="BD311" s="9"/>
      <c r="BE311" s="99"/>
    </row>
    <row r="312" spans="1:59" s="115" customFormat="1" ht="30">
      <c r="A312" s="116">
        <v>2</v>
      </c>
      <c r="B312" s="207" t="s">
        <v>580</v>
      </c>
      <c r="C312" s="87"/>
      <c r="D312" s="87"/>
      <c r="E312" s="87"/>
      <c r="F312" s="87"/>
      <c r="G312" s="99" t="s">
        <v>581</v>
      </c>
      <c r="H312" s="99" t="s">
        <v>578</v>
      </c>
      <c r="I312" s="15" t="s">
        <v>582</v>
      </c>
      <c r="J312" s="16">
        <v>5000</v>
      </c>
      <c r="K312" s="16">
        <v>5000</v>
      </c>
      <c r="L312" s="9"/>
      <c r="M312" s="9"/>
      <c r="N312" s="9"/>
      <c r="O312" s="9"/>
      <c r="P312" s="3"/>
      <c r="Q312" s="3"/>
      <c r="R312" s="3">
        <f t="shared" si="346"/>
        <v>4961</v>
      </c>
      <c r="S312" s="3">
        <v>4961</v>
      </c>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v>4850</v>
      </c>
      <c r="AY312" s="16">
        <f>AZ312</f>
        <v>4850</v>
      </c>
      <c r="AZ312" s="16">
        <v>4850</v>
      </c>
      <c r="BA312" s="16">
        <f t="shared" si="347"/>
        <v>111</v>
      </c>
      <c r="BB312" s="16">
        <f t="shared" si="348"/>
        <v>111</v>
      </c>
      <c r="BC312" s="9"/>
      <c r="BD312" s="9"/>
      <c r="BE312" s="99"/>
    </row>
    <row r="313" spans="1:59" s="115" customFormat="1" ht="30">
      <c r="A313" s="116">
        <v>3</v>
      </c>
      <c r="B313" s="207" t="s">
        <v>583</v>
      </c>
      <c r="C313" s="87"/>
      <c r="D313" s="87"/>
      <c r="E313" s="87"/>
      <c r="F313" s="87"/>
      <c r="G313" s="99" t="s">
        <v>584</v>
      </c>
      <c r="H313" s="99" t="s">
        <v>578</v>
      </c>
      <c r="I313" s="15" t="s">
        <v>585</v>
      </c>
      <c r="J313" s="16">
        <v>4500</v>
      </c>
      <c r="K313" s="16">
        <v>4500</v>
      </c>
      <c r="L313" s="9"/>
      <c r="M313" s="9"/>
      <c r="N313" s="9"/>
      <c r="O313" s="9"/>
      <c r="P313" s="3"/>
      <c r="Q313" s="3"/>
      <c r="R313" s="3">
        <f t="shared" si="346"/>
        <v>4476</v>
      </c>
      <c r="S313" s="3">
        <v>4476</v>
      </c>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v>4400</v>
      </c>
      <c r="AY313" s="16">
        <f>AZ313</f>
        <v>4400</v>
      </c>
      <c r="AZ313" s="16">
        <v>4400</v>
      </c>
      <c r="BA313" s="16">
        <f t="shared" si="347"/>
        <v>76</v>
      </c>
      <c r="BB313" s="16">
        <f>S313-AZ313</f>
        <v>76</v>
      </c>
      <c r="BC313" s="16"/>
      <c r="BD313" s="16"/>
      <c r="BE313" s="99"/>
    </row>
    <row r="314" spans="1:59" s="115" customFormat="1" ht="45">
      <c r="A314" s="116">
        <v>4</v>
      </c>
      <c r="B314" s="207" t="s">
        <v>586</v>
      </c>
      <c r="C314" s="87"/>
      <c r="D314" s="87"/>
      <c r="E314" s="87"/>
      <c r="F314" s="87"/>
      <c r="G314" s="99" t="s">
        <v>587</v>
      </c>
      <c r="H314" s="99" t="s">
        <v>588</v>
      </c>
      <c r="I314" s="15" t="s">
        <v>589</v>
      </c>
      <c r="J314" s="16">
        <v>14592</v>
      </c>
      <c r="K314" s="16">
        <v>11592</v>
      </c>
      <c r="L314" s="9"/>
      <c r="M314" s="9"/>
      <c r="N314" s="9"/>
      <c r="O314" s="9"/>
      <c r="P314" s="3"/>
      <c r="Q314" s="3"/>
      <c r="R314" s="3">
        <f t="shared" si="346"/>
        <v>11167</v>
      </c>
      <c r="S314" s="16">
        <f>11500-333</f>
        <v>11167</v>
      </c>
      <c r="T314" s="3"/>
      <c r="U314" s="3"/>
      <c r="V314" s="3"/>
      <c r="W314" s="16"/>
      <c r="X314" s="16"/>
      <c r="Y314" s="16"/>
      <c r="Z314" s="16"/>
      <c r="AA314" s="16"/>
      <c r="AB314" s="16"/>
      <c r="AC314" s="16"/>
      <c r="AD314" s="16"/>
      <c r="AE314" s="3"/>
      <c r="AF314" s="3"/>
      <c r="AG314" s="3"/>
      <c r="AH314" s="3"/>
      <c r="AI314" s="3"/>
      <c r="AJ314" s="3"/>
      <c r="AK314" s="3"/>
      <c r="AL314" s="3"/>
      <c r="AM314" s="16"/>
      <c r="AN314" s="16"/>
      <c r="AO314" s="16"/>
      <c r="AP314" s="16"/>
      <c r="AQ314" s="16"/>
      <c r="AR314" s="16"/>
      <c r="AS314" s="16"/>
      <c r="AT314" s="16"/>
      <c r="AU314" s="16"/>
      <c r="AV314" s="16"/>
      <c r="AW314" s="16"/>
      <c r="AX314" s="16">
        <v>3870</v>
      </c>
      <c r="AY314" s="16">
        <f>1000+AZ314</f>
        <v>4870</v>
      </c>
      <c r="AZ314" s="16">
        <v>3870</v>
      </c>
      <c r="BA314" s="16">
        <f t="shared" si="347"/>
        <v>7297</v>
      </c>
      <c r="BB314" s="16">
        <f>S314-AZ314</f>
        <v>7297</v>
      </c>
      <c r="BC314" s="16"/>
      <c r="BD314" s="16"/>
      <c r="BE314" s="99"/>
    </row>
    <row r="315" spans="1:59" s="115" customFormat="1" ht="29.25" customHeight="1">
      <c r="A315" s="85" t="s">
        <v>103</v>
      </c>
      <c r="B315" s="91" t="s">
        <v>590</v>
      </c>
      <c r="C315" s="87"/>
      <c r="D315" s="87"/>
      <c r="E315" s="87"/>
      <c r="F315" s="87"/>
      <c r="G315" s="147"/>
      <c r="H315" s="99"/>
      <c r="I315" s="289"/>
      <c r="J315" s="88">
        <f>J317</f>
        <v>7000</v>
      </c>
      <c r="K315" s="88">
        <f t="shared" ref="K315:BB315" si="349">K317</f>
        <v>7000</v>
      </c>
      <c r="L315" s="88">
        <f t="shared" si="349"/>
        <v>0</v>
      </c>
      <c r="M315" s="88">
        <f t="shared" si="349"/>
        <v>0</v>
      </c>
      <c r="N315" s="88">
        <f t="shared" si="349"/>
        <v>0</v>
      </c>
      <c r="O315" s="88">
        <f t="shared" si="349"/>
        <v>0</v>
      </c>
      <c r="P315" s="88">
        <f t="shared" si="349"/>
        <v>0</v>
      </c>
      <c r="Q315" s="88">
        <f t="shared" si="349"/>
        <v>0</v>
      </c>
      <c r="R315" s="88">
        <f t="shared" si="349"/>
        <v>7000</v>
      </c>
      <c r="S315" s="88">
        <f t="shared" si="349"/>
        <v>7000</v>
      </c>
      <c r="T315" s="88">
        <f t="shared" si="349"/>
        <v>0</v>
      </c>
      <c r="U315" s="88">
        <f t="shared" si="349"/>
        <v>0</v>
      </c>
      <c r="V315" s="88">
        <f t="shared" si="349"/>
        <v>0</v>
      </c>
      <c r="W315" s="88">
        <f t="shared" si="349"/>
        <v>0</v>
      </c>
      <c r="X315" s="88">
        <f t="shared" si="349"/>
        <v>0</v>
      </c>
      <c r="Y315" s="88">
        <f t="shared" si="349"/>
        <v>0</v>
      </c>
      <c r="Z315" s="88">
        <f t="shared" si="349"/>
        <v>0</v>
      </c>
      <c r="AA315" s="88">
        <f t="shared" si="349"/>
        <v>0</v>
      </c>
      <c r="AB315" s="88">
        <f t="shared" si="349"/>
        <v>0</v>
      </c>
      <c r="AC315" s="88">
        <f t="shared" si="349"/>
        <v>0</v>
      </c>
      <c r="AD315" s="88">
        <f t="shared" si="349"/>
        <v>0</v>
      </c>
      <c r="AE315" s="88">
        <f t="shared" si="349"/>
        <v>0</v>
      </c>
      <c r="AF315" s="88">
        <f t="shared" si="349"/>
        <v>0</v>
      </c>
      <c r="AG315" s="88">
        <f t="shared" si="349"/>
        <v>0</v>
      </c>
      <c r="AH315" s="88">
        <f t="shared" si="349"/>
        <v>0</v>
      </c>
      <c r="AI315" s="88">
        <f t="shared" si="349"/>
        <v>0</v>
      </c>
      <c r="AJ315" s="88">
        <f t="shared" si="349"/>
        <v>0</v>
      </c>
      <c r="AK315" s="88">
        <f t="shared" si="349"/>
        <v>0</v>
      </c>
      <c r="AL315" s="88">
        <f t="shared" si="349"/>
        <v>0</v>
      </c>
      <c r="AM315" s="88">
        <f t="shared" si="349"/>
        <v>0</v>
      </c>
      <c r="AN315" s="88">
        <f t="shared" si="349"/>
        <v>0</v>
      </c>
      <c r="AO315" s="88">
        <f t="shared" si="349"/>
        <v>0</v>
      </c>
      <c r="AP315" s="88">
        <f t="shared" si="349"/>
        <v>0</v>
      </c>
      <c r="AQ315" s="88">
        <f t="shared" si="349"/>
        <v>0</v>
      </c>
      <c r="AR315" s="88">
        <f t="shared" si="349"/>
        <v>0</v>
      </c>
      <c r="AS315" s="88">
        <f t="shared" si="349"/>
        <v>0</v>
      </c>
      <c r="AT315" s="88">
        <f t="shared" si="349"/>
        <v>0</v>
      </c>
      <c r="AU315" s="88">
        <f t="shared" si="349"/>
        <v>0</v>
      </c>
      <c r="AV315" s="88">
        <f t="shared" si="349"/>
        <v>0</v>
      </c>
      <c r="AW315" s="88">
        <f t="shared" si="349"/>
        <v>0</v>
      </c>
      <c r="AX315" s="88">
        <f t="shared" si="349"/>
        <v>2000</v>
      </c>
      <c r="AY315" s="88">
        <f t="shared" si="349"/>
        <v>2000</v>
      </c>
      <c r="AZ315" s="88">
        <f t="shared" si="349"/>
        <v>2000</v>
      </c>
      <c r="BA315" s="88">
        <f t="shared" si="349"/>
        <v>5000</v>
      </c>
      <c r="BB315" s="88">
        <f t="shared" si="349"/>
        <v>5000</v>
      </c>
      <c r="BC315" s="88"/>
      <c r="BD315" s="88"/>
      <c r="BE315" s="290"/>
    </row>
    <row r="316" spans="1:59" s="115" customFormat="1" ht="23.25" customHeight="1">
      <c r="A316" s="119"/>
      <c r="B316" s="293" t="s">
        <v>95</v>
      </c>
      <c r="C316" s="87"/>
      <c r="D316" s="87"/>
      <c r="E316" s="87"/>
      <c r="F316" s="87"/>
      <c r="G316" s="147"/>
      <c r="H316" s="99"/>
      <c r="I316" s="289"/>
      <c r="J316" s="294"/>
      <c r="K316" s="294"/>
      <c r="L316" s="88"/>
      <c r="M316" s="88"/>
      <c r="N316" s="88"/>
      <c r="O316" s="88"/>
      <c r="P316" s="88"/>
      <c r="Q316" s="88"/>
      <c r="R316" s="294"/>
      <c r="S316" s="294"/>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88"/>
      <c r="AU316" s="88"/>
      <c r="AV316" s="88"/>
      <c r="AW316" s="88"/>
      <c r="AX316" s="88"/>
      <c r="AY316" s="295"/>
      <c r="AZ316" s="295"/>
      <c r="BA316" s="112"/>
      <c r="BB316" s="112"/>
      <c r="BC316" s="88"/>
      <c r="BD316" s="88"/>
      <c r="BE316" s="16"/>
      <c r="BG316" s="296"/>
    </row>
    <row r="317" spans="1:59" s="115" customFormat="1" ht="36.75" customHeight="1">
      <c r="A317" s="116">
        <v>1</v>
      </c>
      <c r="B317" s="207" t="s">
        <v>591</v>
      </c>
      <c r="C317" s="87"/>
      <c r="D317" s="87"/>
      <c r="E317" s="87"/>
      <c r="F317" s="87"/>
      <c r="G317" s="99"/>
      <c r="H317" s="99" t="s">
        <v>578</v>
      </c>
      <c r="I317" s="15" t="s">
        <v>592</v>
      </c>
      <c r="J317" s="16">
        <v>7000</v>
      </c>
      <c r="K317" s="16">
        <v>7000</v>
      </c>
      <c r="L317" s="9"/>
      <c r="M317" s="9"/>
      <c r="N317" s="9"/>
      <c r="O317" s="9"/>
      <c r="P317" s="3"/>
      <c r="Q317" s="3"/>
      <c r="R317" s="3">
        <f t="shared" si="346"/>
        <v>7000</v>
      </c>
      <c r="S317" s="3">
        <v>7000</v>
      </c>
      <c r="T317" s="3"/>
      <c r="U317" s="3"/>
      <c r="V317" s="3"/>
      <c r="W317" s="16"/>
      <c r="X317" s="16"/>
      <c r="Y317" s="16"/>
      <c r="Z317" s="16"/>
      <c r="AA317" s="16"/>
      <c r="AB317" s="16"/>
      <c r="AC317" s="16"/>
      <c r="AD317" s="16"/>
      <c r="AE317" s="3"/>
      <c r="AF317" s="3"/>
      <c r="AG317" s="3"/>
      <c r="AH317" s="3"/>
      <c r="AI317" s="3"/>
      <c r="AJ317" s="3"/>
      <c r="AK317" s="3"/>
      <c r="AL317" s="3"/>
      <c r="AM317" s="16"/>
      <c r="AN317" s="16"/>
      <c r="AO317" s="16"/>
      <c r="AP317" s="16"/>
      <c r="AQ317" s="16"/>
      <c r="AR317" s="16"/>
      <c r="AS317" s="16"/>
      <c r="AT317" s="16"/>
      <c r="AU317" s="16"/>
      <c r="AV317" s="16"/>
      <c r="AW317" s="16"/>
      <c r="AX317" s="16">
        <v>2000</v>
      </c>
      <c r="AY317" s="16">
        <f>AZ317</f>
        <v>2000</v>
      </c>
      <c r="AZ317" s="16">
        <v>2000</v>
      </c>
      <c r="BA317" s="16">
        <f t="shared" si="347"/>
        <v>5000</v>
      </c>
      <c r="BB317" s="16">
        <f>S317-AZ317</f>
        <v>5000</v>
      </c>
      <c r="BC317" s="16"/>
      <c r="BD317" s="16"/>
      <c r="BE317" s="99"/>
    </row>
    <row r="318" spans="1:59" s="115" customFormat="1" ht="29.25" customHeight="1">
      <c r="A318" s="85" t="s">
        <v>172</v>
      </c>
      <c r="B318" s="91" t="s">
        <v>593</v>
      </c>
      <c r="C318" s="87"/>
      <c r="D318" s="87"/>
      <c r="E318" s="87"/>
      <c r="F318" s="87"/>
      <c r="G318" s="288"/>
      <c r="H318" s="99"/>
      <c r="I318" s="289"/>
      <c r="J318" s="297">
        <f>J320+J321</f>
        <v>8500</v>
      </c>
      <c r="K318" s="297">
        <f t="shared" ref="K318:BB318" si="350">K320+K321</f>
        <v>8500</v>
      </c>
      <c r="L318" s="297">
        <f t="shared" si="350"/>
        <v>0</v>
      </c>
      <c r="M318" s="297">
        <f t="shared" si="350"/>
        <v>0</v>
      </c>
      <c r="N318" s="297">
        <f t="shared" si="350"/>
        <v>0</v>
      </c>
      <c r="O318" s="297">
        <f t="shared" si="350"/>
        <v>0</v>
      </c>
      <c r="P318" s="297">
        <f t="shared" si="350"/>
        <v>0</v>
      </c>
      <c r="Q318" s="297">
        <f t="shared" si="350"/>
        <v>0</v>
      </c>
      <c r="R318" s="297">
        <f t="shared" si="350"/>
        <v>8500</v>
      </c>
      <c r="S318" s="297">
        <f t="shared" si="350"/>
        <v>8500</v>
      </c>
      <c r="T318" s="297">
        <f t="shared" si="350"/>
        <v>0</v>
      </c>
      <c r="U318" s="297">
        <f t="shared" si="350"/>
        <v>0</v>
      </c>
      <c r="V318" s="297">
        <f t="shared" si="350"/>
        <v>0</v>
      </c>
      <c r="W318" s="297">
        <f t="shared" si="350"/>
        <v>0</v>
      </c>
      <c r="X318" s="297">
        <f t="shared" si="350"/>
        <v>0</v>
      </c>
      <c r="Y318" s="297">
        <f t="shared" si="350"/>
        <v>0</v>
      </c>
      <c r="Z318" s="297">
        <f t="shared" si="350"/>
        <v>0</v>
      </c>
      <c r="AA318" s="297">
        <f t="shared" si="350"/>
        <v>0</v>
      </c>
      <c r="AB318" s="297">
        <f t="shared" si="350"/>
        <v>0</v>
      </c>
      <c r="AC318" s="297">
        <f t="shared" si="350"/>
        <v>0</v>
      </c>
      <c r="AD318" s="297">
        <f t="shared" si="350"/>
        <v>0</v>
      </c>
      <c r="AE318" s="297">
        <f t="shared" si="350"/>
        <v>0</v>
      </c>
      <c r="AF318" s="297">
        <f t="shared" si="350"/>
        <v>0</v>
      </c>
      <c r="AG318" s="297">
        <f t="shared" si="350"/>
        <v>0</v>
      </c>
      <c r="AH318" s="297">
        <f t="shared" si="350"/>
        <v>0</v>
      </c>
      <c r="AI318" s="297">
        <f t="shared" si="350"/>
        <v>0</v>
      </c>
      <c r="AJ318" s="297">
        <f t="shared" si="350"/>
        <v>0</v>
      </c>
      <c r="AK318" s="297">
        <f t="shared" si="350"/>
        <v>0</v>
      </c>
      <c r="AL318" s="297">
        <f t="shared" si="350"/>
        <v>0</v>
      </c>
      <c r="AM318" s="297">
        <f t="shared" si="350"/>
        <v>0</v>
      </c>
      <c r="AN318" s="297">
        <f t="shared" si="350"/>
        <v>0</v>
      </c>
      <c r="AO318" s="297">
        <f t="shared" si="350"/>
        <v>0</v>
      </c>
      <c r="AP318" s="297">
        <f t="shared" si="350"/>
        <v>0</v>
      </c>
      <c r="AQ318" s="297">
        <f t="shared" si="350"/>
        <v>0</v>
      </c>
      <c r="AR318" s="297">
        <f t="shared" si="350"/>
        <v>0</v>
      </c>
      <c r="AS318" s="297">
        <f t="shared" si="350"/>
        <v>0</v>
      </c>
      <c r="AT318" s="297">
        <f t="shared" si="350"/>
        <v>0</v>
      </c>
      <c r="AU318" s="297">
        <f t="shared" si="350"/>
        <v>0</v>
      </c>
      <c r="AV318" s="297">
        <f t="shared" si="350"/>
        <v>0</v>
      </c>
      <c r="AW318" s="297">
        <f t="shared" si="350"/>
        <v>0</v>
      </c>
      <c r="AX318" s="297">
        <f t="shared" si="350"/>
        <v>200</v>
      </c>
      <c r="AY318" s="297">
        <f t="shared" si="350"/>
        <v>200</v>
      </c>
      <c r="AZ318" s="297">
        <f t="shared" si="350"/>
        <v>200</v>
      </c>
      <c r="BA318" s="297">
        <f t="shared" si="350"/>
        <v>8300</v>
      </c>
      <c r="BB318" s="297">
        <f t="shared" si="350"/>
        <v>8300</v>
      </c>
      <c r="BC318" s="88"/>
      <c r="BD318" s="88"/>
      <c r="BE318" s="290"/>
      <c r="BG318" s="296"/>
    </row>
    <row r="319" spans="1:59" s="115" customFormat="1" ht="24" customHeight="1">
      <c r="A319" s="119"/>
      <c r="B319" s="293" t="s">
        <v>95</v>
      </c>
      <c r="C319" s="87"/>
      <c r="D319" s="87"/>
      <c r="E319" s="87"/>
      <c r="F319" s="87"/>
      <c r="G319" s="147"/>
      <c r="H319" s="99"/>
      <c r="I319" s="289"/>
      <c r="J319" s="294"/>
      <c r="K319" s="294"/>
      <c r="L319" s="88"/>
      <c r="M319" s="88"/>
      <c r="N319" s="88"/>
      <c r="O319" s="88"/>
      <c r="P319" s="88"/>
      <c r="Q319" s="88"/>
      <c r="R319" s="294"/>
      <c r="S319" s="294"/>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c r="AP319" s="88"/>
      <c r="AQ319" s="88"/>
      <c r="AR319" s="88"/>
      <c r="AS319" s="88"/>
      <c r="AT319" s="88"/>
      <c r="AU319" s="88"/>
      <c r="AV319" s="88"/>
      <c r="AW319" s="88"/>
      <c r="AX319" s="88"/>
      <c r="AY319" s="295"/>
      <c r="AZ319" s="295"/>
      <c r="BA319" s="112"/>
      <c r="BB319" s="112"/>
      <c r="BC319" s="88"/>
      <c r="BD319" s="88"/>
      <c r="BE319" s="290"/>
      <c r="BG319" s="296"/>
    </row>
    <row r="320" spans="1:59" s="115" customFormat="1" ht="30">
      <c r="A320" s="116">
        <v>1</v>
      </c>
      <c r="B320" s="207" t="s">
        <v>594</v>
      </c>
      <c r="C320" s="87"/>
      <c r="D320" s="87"/>
      <c r="E320" s="87"/>
      <c r="F320" s="87"/>
      <c r="G320" s="99" t="s">
        <v>595</v>
      </c>
      <c r="H320" s="99" t="s">
        <v>578</v>
      </c>
      <c r="I320" s="15" t="s">
        <v>596</v>
      </c>
      <c r="J320" s="16">
        <v>3500</v>
      </c>
      <c r="K320" s="16">
        <v>3500</v>
      </c>
      <c r="L320" s="9"/>
      <c r="M320" s="9"/>
      <c r="N320" s="9"/>
      <c r="O320" s="9"/>
      <c r="P320" s="3"/>
      <c r="Q320" s="3"/>
      <c r="R320" s="3">
        <f t="shared" si="346"/>
        <v>3500</v>
      </c>
      <c r="S320" s="3">
        <v>3500</v>
      </c>
      <c r="T320" s="3"/>
      <c r="U320" s="3"/>
      <c r="V320" s="3"/>
      <c r="W320" s="16"/>
      <c r="X320" s="16"/>
      <c r="Y320" s="16"/>
      <c r="Z320" s="16"/>
      <c r="AA320" s="16"/>
      <c r="AB320" s="16"/>
      <c r="AC320" s="16"/>
      <c r="AD320" s="16"/>
      <c r="AE320" s="3"/>
      <c r="AF320" s="3"/>
      <c r="AG320" s="3"/>
      <c r="AH320" s="3"/>
      <c r="AI320" s="3"/>
      <c r="AJ320" s="3"/>
      <c r="AK320" s="3"/>
      <c r="AL320" s="3"/>
      <c r="AM320" s="16"/>
      <c r="AN320" s="16"/>
      <c r="AO320" s="16"/>
      <c r="AP320" s="16"/>
      <c r="AQ320" s="16"/>
      <c r="AR320" s="16"/>
      <c r="AS320" s="16"/>
      <c r="AT320" s="16"/>
      <c r="AU320" s="16"/>
      <c r="AV320" s="16"/>
      <c r="AW320" s="16"/>
      <c r="AX320" s="16">
        <v>100</v>
      </c>
      <c r="AY320" s="16">
        <f>AZ320</f>
        <v>100</v>
      </c>
      <c r="AZ320" s="16">
        <v>100</v>
      </c>
      <c r="BA320" s="16">
        <f t="shared" si="347"/>
        <v>3400</v>
      </c>
      <c r="BB320" s="16">
        <f>S320-AZ320</f>
        <v>3400</v>
      </c>
      <c r="BC320" s="16"/>
      <c r="BD320" s="16"/>
      <c r="BE320" s="99"/>
    </row>
    <row r="321" spans="1:59" s="115" customFormat="1" ht="30">
      <c r="A321" s="116">
        <v>2</v>
      </c>
      <c r="B321" s="207" t="s">
        <v>597</v>
      </c>
      <c r="C321" s="87"/>
      <c r="D321" s="87"/>
      <c r="E321" s="87"/>
      <c r="F321" s="87"/>
      <c r="G321" s="99" t="s">
        <v>595</v>
      </c>
      <c r="H321" s="99" t="s">
        <v>578</v>
      </c>
      <c r="I321" s="15" t="s">
        <v>598</v>
      </c>
      <c r="J321" s="16">
        <v>5000</v>
      </c>
      <c r="K321" s="16">
        <v>5000</v>
      </c>
      <c r="L321" s="9"/>
      <c r="M321" s="9"/>
      <c r="N321" s="9"/>
      <c r="O321" s="9"/>
      <c r="P321" s="3"/>
      <c r="Q321" s="3"/>
      <c r="R321" s="3">
        <f t="shared" si="346"/>
        <v>5000</v>
      </c>
      <c r="S321" s="3">
        <v>5000</v>
      </c>
      <c r="T321" s="3"/>
      <c r="U321" s="3"/>
      <c r="V321" s="3"/>
      <c r="W321" s="16"/>
      <c r="X321" s="16"/>
      <c r="Y321" s="16"/>
      <c r="Z321" s="16"/>
      <c r="AA321" s="16"/>
      <c r="AB321" s="16"/>
      <c r="AC321" s="16"/>
      <c r="AD321" s="16"/>
      <c r="AE321" s="3"/>
      <c r="AF321" s="3"/>
      <c r="AG321" s="3"/>
      <c r="AH321" s="3"/>
      <c r="AI321" s="3"/>
      <c r="AJ321" s="3"/>
      <c r="AK321" s="3"/>
      <c r="AL321" s="3"/>
      <c r="AM321" s="16"/>
      <c r="AN321" s="16"/>
      <c r="AO321" s="16"/>
      <c r="AP321" s="16"/>
      <c r="AQ321" s="16"/>
      <c r="AR321" s="16"/>
      <c r="AS321" s="16"/>
      <c r="AT321" s="16"/>
      <c r="AU321" s="16"/>
      <c r="AV321" s="16"/>
      <c r="AW321" s="16"/>
      <c r="AX321" s="16">
        <v>100</v>
      </c>
      <c r="AY321" s="16">
        <f>AZ321</f>
        <v>100</v>
      </c>
      <c r="AZ321" s="16">
        <v>100</v>
      </c>
      <c r="BA321" s="16">
        <f t="shared" si="347"/>
        <v>4900</v>
      </c>
      <c r="BB321" s="16">
        <f>S321-AZ321</f>
        <v>4900</v>
      </c>
      <c r="BC321" s="16"/>
      <c r="BD321" s="16"/>
      <c r="BE321" s="99"/>
    </row>
    <row r="322" spans="1:59" s="115" customFormat="1" ht="34.5" customHeight="1">
      <c r="A322" s="85" t="s">
        <v>137</v>
      </c>
      <c r="B322" s="91" t="s">
        <v>496</v>
      </c>
      <c r="C322" s="87"/>
      <c r="D322" s="87"/>
      <c r="E322" s="87"/>
      <c r="F322" s="87"/>
      <c r="G322" s="99"/>
      <c r="H322" s="99"/>
      <c r="I322" s="15"/>
      <c r="J322" s="9">
        <f>J324</f>
        <v>12600</v>
      </c>
      <c r="K322" s="9">
        <f t="shared" ref="K322:BB322" si="351">K324</f>
        <v>12600</v>
      </c>
      <c r="L322" s="9">
        <f t="shared" si="351"/>
        <v>0</v>
      </c>
      <c r="M322" s="9">
        <f t="shared" si="351"/>
        <v>0</v>
      </c>
      <c r="N322" s="9">
        <f t="shared" si="351"/>
        <v>0</v>
      </c>
      <c r="O322" s="9">
        <f t="shared" si="351"/>
        <v>0</v>
      </c>
      <c r="P322" s="9">
        <f t="shared" si="351"/>
        <v>0</v>
      </c>
      <c r="Q322" s="9">
        <f t="shared" si="351"/>
        <v>0</v>
      </c>
      <c r="R322" s="9">
        <f t="shared" si="351"/>
        <v>8470</v>
      </c>
      <c r="S322" s="9">
        <f t="shared" si="351"/>
        <v>8470</v>
      </c>
      <c r="T322" s="9">
        <f t="shared" si="351"/>
        <v>0</v>
      </c>
      <c r="U322" s="9">
        <f t="shared" si="351"/>
        <v>0</v>
      </c>
      <c r="V322" s="9">
        <f t="shared" si="351"/>
        <v>0</v>
      </c>
      <c r="W322" s="9">
        <f t="shared" si="351"/>
        <v>0</v>
      </c>
      <c r="X322" s="9">
        <f t="shared" si="351"/>
        <v>0</v>
      </c>
      <c r="Y322" s="9">
        <f t="shared" si="351"/>
        <v>0</v>
      </c>
      <c r="Z322" s="9">
        <f t="shared" si="351"/>
        <v>0</v>
      </c>
      <c r="AA322" s="9">
        <f t="shared" si="351"/>
        <v>0</v>
      </c>
      <c r="AB322" s="9">
        <f t="shared" si="351"/>
        <v>0</v>
      </c>
      <c r="AC322" s="9">
        <f t="shared" si="351"/>
        <v>0</v>
      </c>
      <c r="AD322" s="9">
        <f t="shared" si="351"/>
        <v>0</v>
      </c>
      <c r="AE322" s="9">
        <f t="shared" si="351"/>
        <v>0</v>
      </c>
      <c r="AF322" s="9">
        <f t="shared" si="351"/>
        <v>0</v>
      </c>
      <c r="AG322" s="9">
        <f t="shared" si="351"/>
        <v>0</v>
      </c>
      <c r="AH322" s="9">
        <f t="shared" si="351"/>
        <v>0</v>
      </c>
      <c r="AI322" s="9">
        <f t="shared" si="351"/>
        <v>0</v>
      </c>
      <c r="AJ322" s="9">
        <f t="shared" si="351"/>
        <v>0</v>
      </c>
      <c r="AK322" s="9">
        <f t="shared" si="351"/>
        <v>0</v>
      </c>
      <c r="AL322" s="9">
        <f t="shared" si="351"/>
        <v>0</v>
      </c>
      <c r="AM322" s="9">
        <f t="shared" si="351"/>
        <v>0</v>
      </c>
      <c r="AN322" s="9">
        <f t="shared" si="351"/>
        <v>0</v>
      </c>
      <c r="AO322" s="9">
        <f t="shared" si="351"/>
        <v>0</v>
      </c>
      <c r="AP322" s="9">
        <f t="shared" si="351"/>
        <v>0</v>
      </c>
      <c r="AQ322" s="9">
        <f t="shared" si="351"/>
        <v>0</v>
      </c>
      <c r="AR322" s="9">
        <f t="shared" si="351"/>
        <v>0</v>
      </c>
      <c r="AS322" s="9">
        <f t="shared" si="351"/>
        <v>0</v>
      </c>
      <c r="AT322" s="9">
        <f t="shared" si="351"/>
        <v>0</v>
      </c>
      <c r="AU322" s="9">
        <f t="shared" si="351"/>
        <v>0</v>
      </c>
      <c r="AV322" s="9">
        <f t="shared" si="351"/>
        <v>0</v>
      </c>
      <c r="AW322" s="9">
        <f t="shared" si="351"/>
        <v>0</v>
      </c>
      <c r="AX322" s="9">
        <f t="shared" si="351"/>
        <v>3700</v>
      </c>
      <c r="AY322" s="9">
        <f t="shared" si="351"/>
        <v>3700</v>
      </c>
      <c r="AZ322" s="9">
        <f t="shared" si="351"/>
        <v>3700</v>
      </c>
      <c r="BA322" s="9">
        <f t="shared" si="351"/>
        <v>4326</v>
      </c>
      <c r="BB322" s="9">
        <f t="shared" si="351"/>
        <v>4326</v>
      </c>
      <c r="BC322" s="16"/>
      <c r="BD322" s="16"/>
      <c r="BE322" s="99"/>
    </row>
    <row r="323" spans="1:59" s="115" customFormat="1" ht="21.75" customHeight="1">
      <c r="A323" s="119"/>
      <c r="B323" s="293" t="s">
        <v>95</v>
      </c>
      <c r="C323" s="87"/>
      <c r="D323" s="87"/>
      <c r="E323" s="87"/>
      <c r="F323" s="87"/>
      <c r="G323" s="147"/>
      <c r="H323" s="99"/>
      <c r="I323" s="289"/>
      <c r="J323" s="294"/>
      <c r="K323" s="294"/>
      <c r="L323" s="88"/>
      <c r="M323" s="88"/>
      <c r="N323" s="88"/>
      <c r="O323" s="88"/>
      <c r="P323" s="88"/>
      <c r="Q323" s="88"/>
      <c r="R323" s="294"/>
      <c r="S323" s="294"/>
      <c r="T323" s="88"/>
      <c r="U323" s="88"/>
      <c r="V323" s="88"/>
      <c r="W323" s="88"/>
      <c r="X323" s="88"/>
      <c r="Y323" s="88"/>
      <c r="Z323" s="88"/>
      <c r="AA323" s="88"/>
      <c r="AB323" s="88"/>
      <c r="AC323" s="88"/>
      <c r="AD323" s="88"/>
      <c r="AE323" s="88"/>
      <c r="AF323" s="88"/>
      <c r="AG323" s="88"/>
      <c r="AH323" s="88"/>
      <c r="AI323" s="88"/>
      <c r="AJ323" s="88"/>
      <c r="AK323" s="88"/>
      <c r="AL323" s="88"/>
      <c r="AM323" s="88"/>
      <c r="AN323" s="88"/>
      <c r="AO323" s="88"/>
      <c r="AP323" s="88"/>
      <c r="AQ323" s="88"/>
      <c r="AR323" s="88"/>
      <c r="AS323" s="88"/>
      <c r="AT323" s="88"/>
      <c r="AU323" s="88"/>
      <c r="AV323" s="88"/>
      <c r="AW323" s="88"/>
      <c r="AX323" s="88"/>
      <c r="AY323" s="295"/>
      <c r="AZ323" s="295"/>
      <c r="BA323" s="112"/>
      <c r="BB323" s="112"/>
      <c r="BC323" s="88"/>
      <c r="BD323" s="88"/>
      <c r="BE323" s="290"/>
      <c r="BG323" s="296"/>
    </row>
    <row r="324" spans="1:59" s="115" customFormat="1" ht="36.75" customHeight="1">
      <c r="A324" s="116">
        <v>1</v>
      </c>
      <c r="B324" s="207" t="s">
        <v>599</v>
      </c>
      <c r="C324" s="87"/>
      <c r="D324" s="87"/>
      <c r="E324" s="87"/>
      <c r="F324" s="87"/>
      <c r="G324" s="99"/>
      <c r="H324" s="99" t="s">
        <v>578</v>
      </c>
      <c r="I324" s="15" t="s">
        <v>600</v>
      </c>
      <c r="J324" s="16">
        <v>12600</v>
      </c>
      <c r="K324" s="16">
        <v>12600</v>
      </c>
      <c r="L324" s="9"/>
      <c r="M324" s="9"/>
      <c r="N324" s="9"/>
      <c r="O324" s="9"/>
      <c r="P324" s="3"/>
      <c r="Q324" s="3"/>
      <c r="R324" s="3">
        <f t="shared" si="346"/>
        <v>8470</v>
      </c>
      <c r="S324" s="16">
        <f>8470</f>
        <v>8470</v>
      </c>
      <c r="T324" s="3"/>
      <c r="U324" s="3"/>
      <c r="V324" s="3"/>
      <c r="W324" s="16"/>
      <c r="X324" s="16"/>
      <c r="Y324" s="16"/>
      <c r="Z324" s="16"/>
      <c r="AA324" s="16"/>
      <c r="AB324" s="16"/>
      <c r="AC324" s="16"/>
      <c r="AD324" s="16"/>
      <c r="AE324" s="3"/>
      <c r="AF324" s="3"/>
      <c r="AG324" s="3"/>
      <c r="AH324" s="3"/>
      <c r="AI324" s="3"/>
      <c r="AJ324" s="3"/>
      <c r="AK324" s="3"/>
      <c r="AL324" s="3"/>
      <c r="AM324" s="16"/>
      <c r="AN324" s="16"/>
      <c r="AO324" s="16"/>
      <c r="AP324" s="16"/>
      <c r="AQ324" s="16"/>
      <c r="AR324" s="16"/>
      <c r="AS324" s="16"/>
      <c r="AT324" s="16"/>
      <c r="AU324" s="16"/>
      <c r="AV324" s="16"/>
      <c r="AW324" s="16"/>
      <c r="AX324" s="16">
        <v>3700</v>
      </c>
      <c r="AY324" s="16">
        <f>AZ324</f>
        <v>3700</v>
      </c>
      <c r="AZ324" s="16">
        <v>3700</v>
      </c>
      <c r="BA324" s="16">
        <f t="shared" si="347"/>
        <v>4326</v>
      </c>
      <c r="BB324" s="16">
        <f>S324-AZ324-444</f>
        <v>4326</v>
      </c>
      <c r="BC324" s="16"/>
      <c r="BD324" s="16"/>
      <c r="BE324" s="99"/>
    </row>
    <row r="325" spans="1:59" s="89" customFormat="1" ht="42.95" customHeight="1">
      <c r="A325" s="298" t="s">
        <v>84</v>
      </c>
      <c r="B325" s="299" t="s">
        <v>601</v>
      </c>
      <c r="C325" s="118"/>
      <c r="D325" s="118"/>
      <c r="E325" s="118"/>
      <c r="F325" s="118"/>
      <c r="G325" s="118"/>
      <c r="H325" s="118"/>
      <c r="I325" s="21"/>
      <c r="J325" s="28"/>
      <c r="K325" s="28"/>
      <c r="L325" s="28"/>
      <c r="M325" s="28"/>
      <c r="N325" s="28"/>
      <c r="O325" s="28"/>
      <c r="P325" s="3">
        <f t="shared" ref="P325:Q328" si="352">L325+W325</f>
        <v>0</v>
      </c>
      <c r="Q325" s="3">
        <f t="shared" si="352"/>
        <v>0</v>
      </c>
      <c r="R325" s="28"/>
      <c r="S325" s="28"/>
      <c r="T325" s="28"/>
      <c r="U325" s="28"/>
      <c r="V325" s="9"/>
      <c r="W325" s="9"/>
      <c r="X325" s="9"/>
      <c r="Y325" s="9"/>
      <c r="Z325" s="9"/>
      <c r="AA325" s="9">
        <f>SUM(AA326:AA331)</f>
        <v>1028</v>
      </c>
      <c r="AB325" s="9">
        <f>SUM(AB326:AB331)</f>
        <v>1028</v>
      </c>
      <c r="AC325" s="9">
        <f>SUM(AC326:AC331)</f>
        <v>0</v>
      </c>
      <c r="AD325" s="9">
        <f>SUM(AD326:AD331)</f>
        <v>0</v>
      </c>
      <c r="AE325" s="9" t="e">
        <f>AE326+AE327+AE328+AE331+#REF!</f>
        <v>#REF!</v>
      </c>
      <c r="AF325" s="9" t="e">
        <f>AF326+AF327+AF328+AF331+#REF!</f>
        <v>#REF!</v>
      </c>
      <c r="AG325" s="9" t="e">
        <f>AG326+AG327+AG328+AG331+#REF!</f>
        <v>#REF!</v>
      </c>
      <c r="AH325" s="9" t="e">
        <f>AH326+AH327+AH328+AH331+#REF!</f>
        <v>#REF!</v>
      </c>
      <c r="AI325" s="9" t="e">
        <f>AI326+AI327+AI328+AI331+#REF!</f>
        <v>#REF!</v>
      </c>
      <c r="AJ325" s="9" t="e">
        <f>AJ326+AJ327+AJ328+AJ331+#REF!</f>
        <v>#REF!</v>
      </c>
      <c r="AK325" s="9" t="e">
        <f>AK326+AK327+AK328+AK331+#REF!</f>
        <v>#REF!</v>
      </c>
      <c r="AL325" s="9" t="e">
        <f>AL326+AL327+AL328+AL331+#REF!</f>
        <v>#REF!</v>
      </c>
      <c r="AM325" s="9" t="e">
        <f>AM326+AM327+AM328+AM331+#REF!</f>
        <v>#REF!</v>
      </c>
      <c r="AN325" s="9" t="e">
        <f>AN326+AN327+AN328+AN331+#REF!</f>
        <v>#REF!</v>
      </c>
      <c r="AO325" s="9" t="e">
        <f>AO326+AO327+AO328+AO331+#REF!</f>
        <v>#REF!</v>
      </c>
      <c r="AP325" s="9" t="e">
        <f>AP326+AP327+AP328+AP331+#REF!</f>
        <v>#REF!</v>
      </c>
      <c r="AQ325" s="28"/>
      <c r="AR325" s="28"/>
      <c r="AS325" s="28"/>
      <c r="AT325" s="28">
        <f>AT326+AT327+AT328+AT329+AT331</f>
        <v>1305</v>
      </c>
      <c r="AU325" s="28">
        <f>AU326+AU327+AU328+AU329+AU331</f>
        <v>1305</v>
      </c>
      <c r="AV325" s="28"/>
      <c r="AW325" s="28"/>
      <c r="AX325" s="9"/>
      <c r="AY325" s="9"/>
      <c r="AZ325" s="9"/>
      <c r="BA325" s="9">
        <f>+BB325</f>
        <v>33898</v>
      </c>
      <c r="BB325" s="9">
        <f>+BB326+BB327+BB328+BB329+BB330+BB331</f>
        <v>33898</v>
      </c>
      <c r="BC325" s="9"/>
      <c r="BD325" s="9"/>
      <c r="BE325" s="185"/>
    </row>
    <row r="326" spans="1:59" s="89" customFormat="1" ht="37.15" customHeight="1">
      <c r="A326" s="116">
        <v>1</v>
      </c>
      <c r="B326" s="305" t="s">
        <v>606</v>
      </c>
      <c r="C326" s="118"/>
      <c r="D326" s="118"/>
      <c r="E326" s="118"/>
      <c r="F326" s="118"/>
      <c r="G326" s="118"/>
      <c r="H326" s="118"/>
      <c r="I326" s="8"/>
      <c r="J326" s="9"/>
      <c r="K326" s="9"/>
      <c r="L326" s="9"/>
      <c r="M326" s="9"/>
      <c r="N326" s="9"/>
      <c r="O326" s="9"/>
      <c r="P326" s="3">
        <f t="shared" si="352"/>
        <v>0</v>
      </c>
      <c r="Q326" s="3">
        <f t="shared" si="352"/>
        <v>0</v>
      </c>
      <c r="R326" s="4"/>
      <c r="S326" s="4"/>
      <c r="T326" s="4"/>
      <c r="U326" s="4"/>
      <c r="V326" s="4"/>
      <c r="W326" s="9"/>
      <c r="X326" s="9"/>
      <c r="Y326" s="9"/>
      <c r="Z326" s="9"/>
      <c r="AA326" s="16">
        <v>492</v>
      </c>
      <c r="AB326" s="16">
        <v>492</v>
      </c>
      <c r="AC326" s="9"/>
      <c r="AD326" s="9"/>
      <c r="AE326" s="3">
        <f t="shared" ref="AE326:AF328" si="353">W326+AA326</f>
        <v>492</v>
      </c>
      <c r="AF326" s="3">
        <f t="shared" si="353"/>
        <v>492</v>
      </c>
      <c r="AG326" s="4"/>
      <c r="AH326" s="4"/>
      <c r="AI326" s="4">
        <f t="shared" ref="AI326:AL328" si="354">AM326</f>
        <v>455</v>
      </c>
      <c r="AJ326" s="4">
        <f t="shared" si="354"/>
        <v>455</v>
      </c>
      <c r="AK326" s="4">
        <f t="shared" si="354"/>
        <v>0</v>
      </c>
      <c r="AL326" s="4">
        <f t="shared" si="354"/>
        <v>0</v>
      </c>
      <c r="AM326" s="16">
        <f t="shared" ref="AM326:AM331" si="355">AN326</f>
        <v>455</v>
      </c>
      <c r="AN326" s="16">
        <v>455</v>
      </c>
      <c r="AO326" s="16"/>
      <c r="AP326" s="9"/>
      <c r="AQ326" s="28"/>
      <c r="AR326" s="28"/>
      <c r="AS326" s="28"/>
      <c r="AT326" s="46">
        <f>AU326</f>
        <v>417</v>
      </c>
      <c r="AU326" s="46">
        <v>417</v>
      </c>
      <c r="AV326" s="28"/>
      <c r="AW326" s="28"/>
      <c r="AX326" s="9"/>
      <c r="AY326" s="9"/>
      <c r="AZ326" s="9"/>
      <c r="BA326" s="16">
        <f>+BB326</f>
        <v>379</v>
      </c>
      <c r="BB326" s="16">
        <v>379</v>
      </c>
      <c r="BC326" s="9"/>
      <c r="BD326" s="9"/>
      <c r="BE326" s="105"/>
    </row>
    <row r="327" spans="1:59" s="89" customFormat="1" ht="41.1" customHeight="1">
      <c r="A327" s="116">
        <v>2</v>
      </c>
      <c r="B327" s="305" t="s">
        <v>607</v>
      </c>
      <c r="C327" s="118"/>
      <c r="D327" s="118"/>
      <c r="E327" s="118"/>
      <c r="F327" s="118"/>
      <c r="G327" s="118"/>
      <c r="H327" s="118"/>
      <c r="I327" s="8"/>
      <c r="J327" s="9"/>
      <c r="K327" s="9"/>
      <c r="L327" s="9"/>
      <c r="M327" s="9"/>
      <c r="N327" s="9"/>
      <c r="O327" s="9"/>
      <c r="P327" s="3">
        <f t="shared" si="352"/>
        <v>0</v>
      </c>
      <c r="Q327" s="3">
        <f t="shared" si="352"/>
        <v>0</v>
      </c>
      <c r="R327" s="4"/>
      <c r="S327" s="4"/>
      <c r="T327" s="4"/>
      <c r="U327" s="4"/>
      <c r="V327" s="4"/>
      <c r="W327" s="9"/>
      <c r="X327" s="9"/>
      <c r="Y327" s="9"/>
      <c r="Z327" s="9"/>
      <c r="AA327" s="16">
        <v>483</v>
      </c>
      <c r="AB327" s="16">
        <v>483</v>
      </c>
      <c r="AC327" s="9"/>
      <c r="AD327" s="9"/>
      <c r="AE327" s="3">
        <f t="shared" si="353"/>
        <v>483</v>
      </c>
      <c r="AF327" s="3">
        <f t="shared" si="353"/>
        <v>483</v>
      </c>
      <c r="AG327" s="4"/>
      <c r="AH327" s="4"/>
      <c r="AI327" s="4">
        <f t="shared" si="354"/>
        <v>916</v>
      </c>
      <c r="AJ327" s="4">
        <f t="shared" si="354"/>
        <v>916</v>
      </c>
      <c r="AK327" s="4">
        <f t="shared" si="354"/>
        <v>0</v>
      </c>
      <c r="AL327" s="4">
        <f t="shared" si="354"/>
        <v>0</v>
      </c>
      <c r="AM327" s="16">
        <f t="shared" si="355"/>
        <v>916</v>
      </c>
      <c r="AN327" s="16">
        <v>916</v>
      </c>
      <c r="AO327" s="16"/>
      <c r="AP327" s="9"/>
      <c r="AQ327" s="28"/>
      <c r="AR327" s="28"/>
      <c r="AS327" s="28"/>
      <c r="AT327" s="46">
        <f>AU327</f>
        <v>647</v>
      </c>
      <c r="AU327" s="46">
        <v>647</v>
      </c>
      <c r="AV327" s="28"/>
      <c r="AW327" s="28"/>
      <c r="AX327" s="9"/>
      <c r="AY327" s="9"/>
      <c r="AZ327" s="9"/>
      <c r="BA327" s="16">
        <f t="shared" ref="BA327:BA331" si="356">+BB327</f>
        <v>712</v>
      </c>
      <c r="BB327" s="16">
        <v>712</v>
      </c>
      <c r="BC327" s="9"/>
      <c r="BD327" s="9"/>
      <c r="BE327" s="105"/>
    </row>
    <row r="328" spans="1:59" s="89" customFormat="1" ht="47.1" customHeight="1">
      <c r="A328" s="116">
        <v>3</v>
      </c>
      <c r="B328" s="306" t="s">
        <v>608</v>
      </c>
      <c r="C328" s="118"/>
      <c r="D328" s="118"/>
      <c r="E328" s="118"/>
      <c r="F328" s="118"/>
      <c r="G328" s="118"/>
      <c r="H328" s="118"/>
      <c r="I328" s="8"/>
      <c r="J328" s="9"/>
      <c r="K328" s="9"/>
      <c r="L328" s="9"/>
      <c r="M328" s="9"/>
      <c r="N328" s="9"/>
      <c r="O328" s="9"/>
      <c r="P328" s="3">
        <f t="shared" si="352"/>
        <v>0</v>
      </c>
      <c r="Q328" s="3">
        <f t="shared" si="352"/>
        <v>0</v>
      </c>
      <c r="R328" s="4"/>
      <c r="S328" s="4"/>
      <c r="T328" s="4"/>
      <c r="U328" s="4"/>
      <c r="V328" s="4"/>
      <c r="W328" s="9"/>
      <c r="X328" s="9"/>
      <c r="Y328" s="9"/>
      <c r="Z328" s="9"/>
      <c r="AA328" s="16">
        <v>53</v>
      </c>
      <c r="AB328" s="16">
        <v>53</v>
      </c>
      <c r="AC328" s="9"/>
      <c r="AD328" s="9"/>
      <c r="AE328" s="3">
        <f t="shared" si="353"/>
        <v>53</v>
      </c>
      <c r="AF328" s="3">
        <f t="shared" si="353"/>
        <v>53</v>
      </c>
      <c r="AG328" s="4"/>
      <c r="AH328" s="4"/>
      <c r="AI328" s="4">
        <f t="shared" si="354"/>
        <v>172</v>
      </c>
      <c r="AJ328" s="4">
        <f t="shared" si="354"/>
        <v>172</v>
      </c>
      <c r="AK328" s="4">
        <f t="shared" si="354"/>
        <v>0</v>
      </c>
      <c r="AL328" s="4">
        <f t="shared" si="354"/>
        <v>0</v>
      </c>
      <c r="AM328" s="16">
        <f t="shared" si="355"/>
        <v>172</v>
      </c>
      <c r="AN328" s="16">
        <v>172</v>
      </c>
      <c r="AO328" s="16"/>
      <c r="AP328" s="9"/>
      <c r="AQ328" s="28"/>
      <c r="AR328" s="28"/>
      <c r="AS328" s="28"/>
      <c r="AT328" s="46">
        <f>AU328</f>
        <v>197</v>
      </c>
      <c r="AU328" s="46">
        <v>197</v>
      </c>
      <c r="AV328" s="28"/>
      <c r="AW328" s="28"/>
      <c r="AX328" s="9"/>
      <c r="AY328" s="9"/>
      <c r="AZ328" s="9"/>
      <c r="BA328" s="16">
        <f t="shared" si="356"/>
        <v>309</v>
      </c>
      <c r="BB328" s="16">
        <v>309</v>
      </c>
      <c r="BC328" s="9"/>
      <c r="BD328" s="9"/>
      <c r="BE328" s="105"/>
    </row>
    <row r="329" spans="1:59" s="89" customFormat="1" ht="44.45" customHeight="1">
      <c r="A329" s="116">
        <v>4</v>
      </c>
      <c r="B329" s="306" t="s">
        <v>86</v>
      </c>
      <c r="C329" s="118"/>
      <c r="D329" s="118"/>
      <c r="E329" s="118"/>
      <c r="F329" s="118"/>
      <c r="G329" s="118"/>
      <c r="H329" s="118"/>
      <c r="I329" s="8"/>
      <c r="J329" s="9"/>
      <c r="K329" s="9"/>
      <c r="L329" s="9"/>
      <c r="M329" s="9"/>
      <c r="N329" s="9"/>
      <c r="O329" s="9"/>
      <c r="P329" s="3"/>
      <c r="Q329" s="3"/>
      <c r="R329" s="4"/>
      <c r="S329" s="4"/>
      <c r="T329" s="4"/>
      <c r="U329" s="4"/>
      <c r="V329" s="4"/>
      <c r="W329" s="9"/>
      <c r="X329" s="9"/>
      <c r="Y329" s="9"/>
      <c r="Z329" s="9"/>
      <c r="AA329" s="16"/>
      <c r="AB329" s="16"/>
      <c r="AC329" s="9"/>
      <c r="AD329" s="9"/>
      <c r="AE329" s="3"/>
      <c r="AF329" s="3"/>
      <c r="AG329" s="4"/>
      <c r="AH329" s="4"/>
      <c r="AI329" s="4"/>
      <c r="AJ329" s="4"/>
      <c r="AK329" s="4"/>
      <c r="AL329" s="4"/>
      <c r="AM329" s="16"/>
      <c r="AN329" s="16"/>
      <c r="AO329" s="16"/>
      <c r="AP329" s="9"/>
      <c r="AQ329" s="28"/>
      <c r="AR329" s="28"/>
      <c r="AS329" s="28"/>
      <c r="AT329" s="46">
        <f>AU329</f>
        <v>44</v>
      </c>
      <c r="AU329" s="46">
        <v>44</v>
      </c>
      <c r="AV329" s="28"/>
      <c r="AW329" s="28"/>
      <c r="AX329" s="9"/>
      <c r="AY329" s="9"/>
      <c r="AZ329" s="9"/>
      <c r="BA329" s="16">
        <f t="shared" si="356"/>
        <v>30</v>
      </c>
      <c r="BB329" s="16">
        <v>30</v>
      </c>
      <c r="BC329" s="9"/>
      <c r="BD329" s="9"/>
      <c r="BE329" s="105"/>
    </row>
    <row r="330" spans="1:59" s="89" customFormat="1" ht="36" customHeight="1">
      <c r="A330" s="116">
        <v>5</v>
      </c>
      <c r="B330" s="306" t="s">
        <v>87</v>
      </c>
      <c r="C330" s="118"/>
      <c r="D330" s="118"/>
      <c r="E330" s="118"/>
      <c r="F330" s="118"/>
      <c r="G330" s="118"/>
      <c r="H330" s="118"/>
      <c r="I330" s="8"/>
      <c r="J330" s="9"/>
      <c r="K330" s="9"/>
      <c r="L330" s="9"/>
      <c r="M330" s="9"/>
      <c r="N330" s="9"/>
      <c r="O330" s="9"/>
      <c r="P330" s="3"/>
      <c r="Q330" s="3"/>
      <c r="R330" s="4"/>
      <c r="S330" s="4"/>
      <c r="T330" s="4"/>
      <c r="U330" s="4"/>
      <c r="V330" s="4"/>
      <c r="W330" s="9"/>
      <c r="X330" s="9"/>
      <c r="Y330" s="9"/>
      <c r="Z330" s="9"/>
      <c r="AA330" s="16"/>
      <c r="AB330" s="16"/>
      <c r="AC330" s="9"/>
      <c r="AD330" s="9"/>
      <c r="AE330" s="3"/>
      <c r="AF330" s="3"/>
      <c r="AG330" s="4"/>
      <c r="AH330" s="4"/>
      <c r="AI330" s="4"/>
      <c r="AJ330" s="4"/>
      <c r="AK330" s="4"/>
      <c r="AL330" s="4"/>
      <c r="AM330" s="16"/>
      <c r="AN330" s="16"/>
      <c r="AO330" s="16"/>
      <c r="AP330" s="9"/>
      <c r="AQ330" s="28"/>
      <c r="AR330" s="28"/>
      <c r="AS330" s="28"/>
      <c r="AT330" s="46">
        <f>AU330</f>
        <v>13300</v>
      </c>
      <c r="AU330" s="46">
        <v>13300</v>
      </c>
      <c r="AV330" s="28"/>
      <c r="AW330" s="28"/>
      <c r="AX330" s="9"/>
      <c r="AY330" s="9"/>
      <c r="AZ330" s="9"/>
      <c r="BA330" s="16">
        <f t="shared" si="356"/>
        <v>32268</v>
      </c>
      <c r="BB330" s="16">
        <v>32268</v>
      </c>
      <c r="BC330" s="9"/>
      <c r="BD330" s="9"/>
      <c r="BE330" s="105"/>
    </row>
    <row r="331" spans="1:59" s="89" customFormat="1" ht="47.1" customHeight="1">
      <c r="A331" s="116">
        <v>6</v>
      </c>
      <c r="B331" s="306" t="s">
        <v>609</v>
      </c>
      <c r="C331" s="118"/>
      <c r="D331" s="118"/>
      <c r="E331" s="118"/>
      <c r="F331" s="118"/>
      <c r="G331" s="118"/>
      <c r="H331" s="118"/>
      <c r="I331" s="8"/>
      <c r="J331" s="9"/>
      <c r="K331" s="9"/>
      <c r="L331" s="9"/>
      <c r="M331" s="9"/>
      <c r="N331" s="9"/>
      <c r="O331" s="9"/>
      <c r="P331" s="3"/>
      <c r="Q331" s="3"/>
      <c r="R331" s="4"/>
      <c r="S331" s="4"/>
      <c r="T331" s="4"/>
      <c r="U331" s="4"/>
      <c r="V331" s="4"/>
      <c r="W331" s="9"/>
      <c r="X331" s="9"/>
      <c r="Y331" s="9"/>
      <c r="Z331" s="9"/>
      <c r="AA331" s="16"/>
      <c r="AB331" s="16"/>
      <c r="AC331" s="9"/>
      <c r="AD331" s="9"/>
      <c r="AE331" s="4"/>
      <c r="AF331" s="4"/>
      <c r="AG331" s="4"/>
      <c r="AH331" s="4"/>
      <c r="AI331" s="4"/>
      <c r="AJ331" s="4"/>
      <c r="AK331" s="4"/>
      <c r="AL331" s="4"/>
      <c r="AM331" s="16">
        <f t="shared" si="355"/>
        <v>22400</v>
      </c>
      <c r="AN331" s="16">
        <v>22400</v>
      </c>
      <c r="AO331" s="16"/>
      <c r="AP331" s="9"/>
      <c r="AQ331" s="28"/>
      <c r="AR331" s="28"/>
      <c r="AS331" s="28"/>
      <c r="AT331" s="46"/>
      <c r="AU331" s="46"/>
      <c r="AV331" s="28"/>
      <c r="AW331" s="28"/>
      <c r="AX331" s="9"/>
      <c r="AY331" s="9"/>
      <c r="AZ331" s="9"/>
      <c r="BA331" s="16">
        <f t="shared" si="356"/>
        <v>200</v>
      </c>
      <c r="BB331" s="16">
        <v>200</v>
      </c>
      <c r="BC331" s="9"/>
      <c r="BD331" s="9"/>
      <c r="BE331" s="105"/>
    </row>
    <row r="332" spans="1:59" ht="50.25" customHeight="1">
      <c r="A332" s="57"/>
      <c r="B332" s="336"/>
      <c r="C332" s="336"/>
      <c r="D332" s="336"/>
      <c r="E332" s="336"/>
      <c r="F332" s="336"/>
      <c r="G332" s="336"/>
      <c r="H332" s="336"/>
      <c r="I332" s="336"/>
      <c r="J332" s="336"/>
      <c r="K332" s="336"/>
      <c r="L332" s="336"/>
      <c r="M332" s="336"/>
      <c r="N332" s="336"/>
      <c r="O332" s="336"/>
      <c r="P332" s="336"/>
      <c r="Q332" s="336"/>
      <c r="R332" s="336"/>
      <c r="S332" s="336"/>
      <c r="T332" s="336"/>
      <c r="U332" s="336"/>
      <c r="V332" s="336"/>
      <c r="W332" s="336"/>
      <c r="X332" s="336"/>
      <c r="Y332" s="336"/>
      <c r="Z332" s="336"/>
      <c r="AA332" s="336"/>
      <c r="AB332" s="336"/>
      <c r="AC332" s="336"/>
      <c r="AD332" s="336"/>
      <c r="AE332" s="336"/>
      <c r="AF332" s="336"/>
      <c r="AG332" s="336"/>
      <c r="AH332" s="336"/>
      <c r="AI332" s="336"/>
      <c r="AJ332" s="336"/>
      <c r="AK332" s="336"/>
      <c r="AL332" s="336"/>
      <c r="AM332" s="336"/>
      <c r="AN332" s="336"/>
      <c r="AO332" s="336"/>
      <c r="AP332" s="336"/>
      <c r="AQ332" s="336"/>
      <c r="AR332" s="336"/>
      <c r="AS332" s="336"/>
      <c r="AT332" s="336"/>
      <c r="AU332" s="336"/>
      <c r="AV332" s="336"/>
      <c r="AW332" s="336"/>
      <c r="AX332" s="336"/>
      <c r="AY332" s="336"/>
      <c r="AZ332" s="336"/>
      <c r="BA332" s="336"/>
      <c r="BB332" s="336"/>
      <c r="BC332" s="336"/>
      <c r="BD332" s="336"/>
      <c r="BE332" s="336"/>
    </row>
    <row r="333" spans="1:59">
      <c r="A333" s="57"/>
      <c r="B333" s="57"/>
      <c r="C333" s="57"/>
      <c r="D333" s="57"/>
      <c r="E333" s="57"/>
      <c r="F333" s="57"/>
      <c r="G333" s="57"/>
      <c r="H333" s="57"/>
      <c r="J333" s="57"/>
      <c r="K333" s="57"/>
    </row>
    <row r="334" spans="1:59">
      <c r="A334" s="57"/>
      <c r="B334" s="57"/>
      <c r="C334" s="57"/>
      <c r="D334" s="57"/>
      <c r="E334" s="57"/>
      <c r="F334" s="57"/>
      <c r="G334" s="57"/>
      <c r="H334" s="57"/>
      <c r="J334" s="57"/>
      <c r="K334" s="57"/>
      <c r="W334" s="302" t="s">
        <v>54</v>
      </c>
    </row>
    <row r="335" spans="1:59">
      <c r="A335" s="57"/>
      <c r="B335" s="57"/>
      <c r="C335" s="57"/>
      <c r="D335" s="57"/>
      <c r="E335" s="57"/>
      <c r="F335" s="57"/>
      <c r="G335" s="57"/>
      <c r="H335" s="57"/>
      <c r="J335" s="57"/>
      <c r="K335" s="57"/>
      <c r="L335" s="57"/>
      <c r="M335" s="57"/>
      <c r="N335" s="57"/>
      <c r="O335" s="57"/>
      <c r="P335" s="146"/>
      <c r="Q335" s="146"/>
    </row>
    <row r="336" spans="1:59" s="301" customFormat="1">
      <c r="A336" s="57"/>
      <c r="B336" s="57"/>
      <c r="C336" s="57"/>
      <c r="D336" s="57"/>
      <c r="E336" s="57"/>
      <c r="F336" s="57"/>
      <c r="G336" s="57"/>
      <c r="H336" s="57"/>
      <c r="I336" s="300"/>
      <c r="J336" s="57"/>
      <c r="K336" s="57"/>
      <c r="L336" s="57"/>
      <c r="M336" s="57"/>
      <c r="N336" s="57"/>
      <c r="O336" s="57"/>
      <c r="P336" s="146"/>
      <c r="Q336" s="146"/>
      <c r="V336" s="302"/>
      <c r="W336" s="302"/>
      <c r="X336" s="302"/>
      <c r="Y336" s="302"/>
      <c r="Z336" s="302"/>
      <c r="AA336" s="302"/>
      <c r="AB336" s="56"/>
      <c r="AC336" s="302"/>
      <c r="AD336" s="302"/>
      <c r="AE336" s="302"/>
      <c r="AF336" s="302"/>
      <c r="AG336" s="302"/>
      <c r="AH336" s="302"/>
      <c r="AI336" s="302"/>
      <c r="AJ336" s="302"/>
      <c r="AK336" s="302"/>
      <c r="AL336" s="302"/>
      <c r="AM336" s="302"/>
      <c r="AN336" s="302"/>
      <c r="AO336" s="302"/>
      <c r="AP336" s="302"/>
      <c r="AX336" s="302"/>
      <c r="AY336" s="302"/>
      <c r="AZ336" s="302"/>
      <c r="BA336" s="302"/>
      <c r="BB336" s="302"/>
      <c r="BC336" s="302"/>
      <c r="BD336" s="302"/>
      <c r="BE336" s="60"/>
    </row>
    <row r="337" spans="1:57" s="301" customFormat="1">
      <c r="A337" s="57"/>
      <c r="B337" s="57"/>
      <c r="C337" s="57"/>
      <c r="D337" s="57"/>
      <c r="E337" s="57"/>
      <c r="F337" s="57"/>
      <c r="G337" s="57"/>
      <c r="H337" s="57"/>
      <c r="I337" s="300"/>
      <c r="J337" s="57"/>
      <c r="K337" s="57"/>
      <c r="L337" s="57"/>
      <c r="M337" s="57"/>
      <c r="N337" s="57"/>
      <c r="O337" s="57"/>
      <c r="P337" s="146"/>
      <c r="Q337" s="146"/>
      <c r="V337" s="302"/>
      <c r="W337" s="302"/>
      <c r="X337" s="302"/>
      <c r="Y337" s="302"/>
      <c r="Z337" s="302"/>
      <c r="AA337" s="302"/>
      <c r="AB337" s="56"/>
      <c r="AC337" s="302"/>
      <c r="AD337" s="302"/>
      <c r="AE337" s="302"/>
      <c r="AF337" s="302"/>
      <c r="AG337" s="302"/>
      <c r="AH337" s="302"/>
      <c r="AI337" s="302"/>
      <c r="AJ337" s="302"/>
      <c r="AK337" s="302"/>
      <c r="AL337" s="302"/>
      <c r="AM337" s="302"/>
      <c r="AN337" s="302"/>
      <c r="AO337" s="302"/>
      <c r="AP337" s="302"/>
      <c r="AX337" s="302"/>
      <c r="AY337" s="302"/>
      <c r="AZ337" s="302"/>
      <c r="BA337" s="302"/>
      <c r="BB337" s="302"/>
      <c r="BC337" s="302"/>
      <c r="BD337" s="302"/>
      <c r="BE337" s="60"/>
    </row>
    <row r="338" spans="1:57" s="301" customFormat="1">
      <c r="A338" s="57"/>
      <c r="B338" s="57"/>
      <c r="C338" s="57"/>
      <c r="D338" s="57"/>
      <c r="E338" s="57"/>
      <c r="F338" s="57"/>
      <c r="G338" s="57"/>
      <c r="H338" s="57"/>
      <c r="I338" s="300"/>
      <c r="J338" s="57"/>
      <c r="K338" s="57"/>
      <c r="L338" s="57"/>
      <c r="M338" s="57"/>
      <c r="N338" s="57"/>
      <c r="O338" s="57"/>
      <c r="P338" s="146"/>
      <c r="Q338" s="146"/>
      <c r="V338" s="302"/>
      <c r="W338" s="302"/>
      <c r="X338" s="302"/>
      <c r="Y338" s="302"/>
      <c r="Z338" s="302"/>
      <c r="AA338" s="302"/>
      <c r="AB338" s="56"/>
      <c r="AC338" s="302"/>
      <c r="AD338" s="302"/>
      <c r="AE338" s="302"/>
      <c r="AF338" s="302"/>
      <c r="AG338" s="302"/>
      <c r="AH338" s="302"/>
      <c r="AI338" s="302"/>
      <c r="AJ338" s="302"/>
      <c r="AK338" s="302"/>
      <c r="AL338" s="302"/>
      <c r="AM338" s="302"/>
      <c r="AN338" s="302"/>
      <c r="AO338" s="302"/>
      <c r="AP338" s="302"/>
      <c r="AX338" s="302"/>
      <c r="AY338" s="302"/>
      <c r="AZ338" s="302"/>
      <c r="BA338" s="302"/>
      <c r="BB338" s="302"/>
      <c r="BC338" s="302"/>
      <c r="BD338" s="302"/>
      <c r="BE338" s="60"/>
    </row>
    <row r="339" spans="1:57" s="301" customFormat="1">
      <c r="A339" s="57"/>
      <c r="B339" s="57"/>
      <c r="C339" s="57"/>
      <c r="D339" s="57"/>
      <c r="E339" s="57"/>
      <c r="F339" s="57"/>
      <c r="G339" s="57"/>
      <c r="H339" s="57"/>
      <c r="I339" s="300"/>
      <c r="J339" s="57"/>
      <c r="K339" s="57"/>
      <c r="L339" s="57"/>
      <c r="M339" s="57"/>
      <c r="N339" s="57"/>
      <c r="O339" s="57"/>
      <c r="P339" s="146"/>
      <c r="Q339" s="146"/>
      <c r="V339" s="302"/>
      <c r="W339" s="302"/>
      <c r="X339" s="302"/>
      <c r="Y339" s="302"/>
      <c r="Z339" s="302"/>
      <c r="AA339" s="302"/>
      <c r="AB339" s="56"/>
      <c r="AC339" s="302"/>
      <c r="AD339" s="302"/>
      <c r="AE339" s="302"/>
      <c r="AF339" s="302"/>
      <c r="AG339" s="302"/>
      <c r="AH339" s="302"/>
      <c r="AI339" s="302"/>
      <c r="AJ339" s="302"/>
      <c r="AK339" s="302"/>
      <c r="AL339" s="302"/>
      <c r="AM339" s="302"/>
      <c r="AN339" s="302"/>
      <c r="AO339" s="302"/>
      <c r="AP339" s="302"/>
      <c r="AX339" s="302"/>
      <c r="AY339" s="302"/>
      <c r="AZ339" s="302"/>
      <c r="BA339" s="302"/>
      <c r="BB339" s="302"/>
      <c r="BC339" s="302"/>
      <c r="BD339" s="302"/>
      <c r="BE339" s="60"/>
    </row>
    <row r="340" spans="1:57" s="301" customFormat="1">
      <c r="A340" s="57"/>
      <c r="B340" s="57"/>
      <c r="C340" s="57"/>
      <c r="D340" s="57"/>
      <c r="E340" s="57"/>
      <c r="F340" s="57"/>
      <c r="G340" s="57"/>
      <c r="H340" s="57"/>
      <c r="I340" s="300"/>
      <c r="J340" s="57"/>
      <c r="K340" s="57"/>
      <c r="L340" s="57"/>
      <c r="M340" s="57"/>
      <c r="N340" s="57"/>
      <c r="O340" s="57"/>
      <c r="P340" s="146"/>
      <c r="Q340" s="146"/>
      <c r="V340" s="302"/>
      <c r="W340" s="302"/>
      <c r="X340" s="302"/>
      <c r="Y340" s="302"/>
      <c r="Z340" s="302"/>
      <c r="AA340" s="302"/>
      <c r="AB340" s="56"/>
      <c r="AC340" s="302"/>
      <c r="AD340" s="302"/>
      <c r="AE340" s="302"/>
      <c r="AF340" s="302"/>
      <c r="AG340" s="302"/>
      <c r="AH340" s="302"/>
      <c r="AI340" s="302"/>
      <c r="AJ340" s="302"/>
      <c r="AK340" s="302"/>
      <c r="AL340" s="302"/>
      <c r="AM340" s="302"/>
      <c r="AN340" s="302"/>
      <c r="AO340" s="302"/>
      <c r="AP340" s="302"/>
      <c r="AX340" s="302"/>
      <c r="AY340" s="302"/>
      <c r="AZ340" s="302"/>
      <c r="BA340" s="302"/>
      <c r="BB340" s="302"/>
      <c r="BC340" s="302"/>
      <c r="BD340" s="302"/>
      <c r="BE340" s="60"/>
    </row>
    <row r="341" spans="1:57" s="301" customFormat="1">
      <c r="A341" s="57"/>
      <c r="B341" s="57"/>
      <c r="C341" s="57"/>
      <c r="D341" s="57"/>
      <c r="E341" s="57"/>
      <c r="F341" s="57"/>
      <c r="G341" s="57"/>
      <c r="H341" s="57"/>
      <c r="I341" s="300"/>
      <c r="J341" s="57"/>
      <c r="K341" s="57"/>
      <c r="L341" s="57"/>
      <c r="M341" s="57"/>
      <c r="N341" s="57"/>
      <c r="O341" s="57"/>
      <c r="P341" s="146"/>
      <c r="Q341" s="146"/>
      <c r="V341" s="302"/>
      <c r="W341" s="302"/>
      <c r="X341" s="302"/>
      <c r="Y341" s="302"/>
      <c r="Z341" s="302"/>
      <c r="AA341" s="302"/>
      <c r="AB341" s="56"/>
      <c r="AC341" s="302"/>
      <c r="AD341" s="302"/>
      <c r="AE341" s="302"/>
      <c r="AF341" s="302"/>
      <c r="AG341" s="302"/>
      <c r="AH341" s="302"/>
      <c r="AI341" s="302"/>
      <c r="AJ341" s="302"/>
      <c r="AK341" s="302"/>
      <c r="AL341" s="302"/>
      <c r="AM341" s="302"/>
      <c r="AN341" s="302"/>
      <c r="AO341" s="302"/>
      <c r="AP341" s="302"/>
      <c r="AX341" s="302"/>
      <c r="AY341" s="302"/>
      <c r="AZ341" s="302"/>
      <c r="BA341" s="302"/>
      <c r="BB341" s="302"/>
      <c r="BC341" s="302"/>
      <c r="BD341" s="302"/>
      <c r="BE341" s="60"/>
    </row>
    <row r="342" spans="1:57" s="301" customFormat="1">
      <c r="A342" s="57"/>
      <c r="B342" s="57"/>
      <c r="C342" s="57"/>
      <c r="D342" s="57"/>
      <c r="E342" s="57"/>
      <c r="F342" s="57"/>
      <c r="G342" s="57"/>
      <c r="H342" s="57"/>
      <c r="I342" s="300"/>
      <c r="J342" s="57"/>
      <c r="K342" s="57"/>
      <c r="L342" s="57"/>
      <c r="M342" s="57"/>
      <c r="N342" s="57"/>
      <c r="O342" s="57"/>
      <c r="P342" s="146"/>
      <c r="Q342" s="146"/>
      <c r="V342" s="302"/>
      <c r="W342" s="302"/>
      <c r="X342" s="302"/>
      <c r="Y342" s="302"/>
      <c r="Z342" s="302"/>
      <c r="AA342" s="302"/>
      <c r="AB342" s="56"/>
      <c r="AC342" s="302"/>
      <c r="AD342" s="302"/>
      <c r="AE342" s="302"/>
      <c r="AF342" s="302"/>
      <c r="AG342" s="302"/>
      <c r="AH342" s="302"/>
      <c r="AI342" s="302"/>
      <c r="AJ342" s="302"/>
      <c r="AK342" s="302"/>
      <c r="AL342" s="302"/>
      <c r="AM342" s="302"/>
      <c r="AN342" s="302"/>
      <c r="AO342" s="302"/>
      <c r="AP342" s="302"/>
      <c r="AX342" s="302"/>
      <c r="AY342" s="302"/>
      <c r="AZ342" s="302"/>
      <c r="BA342" s="302"/>
      <c r="BB342" s="302"/>
      <c r="BC342" s="302"/>
      <c r="BD342" s="302"/>
      <c r="BE342" s="60"/>
    </row>
    <row r="343" spans="1:57" s="301" customFormat="1">
      <c r="A343" s="57"/>
      <c r="B343" s="57"/>
      <c r="C343" s="57"/>
      <c r="D343" s="57"/>
      <c r="E343" s="57"/>
      <c r="F343" s="57"/>
      <c r="G343" s="57"/>
      <c r="H343" s="57"/>
      <c r="I343" s="300"/>
      <c r="J343" s="57"/>
      <c r="K343" s="57"/>
      <c r="L343" s="57"/>
      <c r="M343" s="57"/>
      <c r="N343" s="57"/>
      <c r="O343" s="57"/>
      <c r="P343" s="146"/>
      <c r="Q343" s="146"/>
      <c r="V343" s="302"/>
      <c r="W343" s="302"/>
      <c r="X343" s="302"/>
      <c r="Y343" s="302"/>
      <c r="Z343" s="302"/>
      <c r="AA343" s="302"/>
      <c r="AB343" s="56"/>
      <c r="AC343" s="302"/>
      <c r="AD343" s="302"/>
      <c r="AE343" s="302"/>
      <c r="AF343" s="302"/>
      <c r="AG343" s="302"/>
      <c r="AH343" s="302"/>
      <c r="AI343" s="302"/>
      <c r="AJ343" s="302"/>
      <c r="AK343" s="302"/>
      <c r="AL343" s="302"/>
      <c r="AM343" s="302"/>
      <c r="AN343" s="302"/>
      <c r="AO343" s="302"/>
      <c r="AP343" s="302"/>
      <c r="AX343" s="302"/>
      <c r="AY343" s="302"/>
      <c r="AZ343" s="302"/>
      <c r="BA343" s="302"/>
      <c r="BB343" s="302"/>
      <c r="BC343" s="302"/>
      <c r="BD343" s="302"/>
      <c r="BE343" s="60"/>
    </row>
    <row r="344" spans="1:57" s="301" customFormat="1">
      <c r="A344" s="57"/>
      <c r="B344" s="57"/>
      <c r="C344" s="57"/>
      <c r="D344" s="57"/>
      <c r="E344" s="57"/>
      <c r="F344" s="57"/>
      <c r="G344" s="57"/>
      <c r="H344" s="57"/>
      <c r="I344" s="300"/>
      <c r="J344" s="57"/>
      <c r="K344" s="57"/>
      <c r="L344" s="57"/>
      <c r="M344" s="57"/>
      <c r="N344" s="57"/>
      <c r="O344" s="57"/>
      <c r="P344" s="146"/>
      <c r="Q344" s="146"/>
      <c r="V344" s="302"/>
      <c r="W344" s="302"/>
      <c r="X344" s="302"/>
      <c r="Y344" s="302"/>
      <c r="Z344" s="302"/>
      <c r="AA344" s="302"/>
      <c r="AB344" s="56"/>
      <c r="AC344" s="302"/>
      <c r="AD344" s="302"/>
      <c r="AE344" s="302"/>
      <c r="AF344" s="302"/>
      <c r="AG344" s="302"/>
      <c r="AH344" s="302"/>
      <c r="AI344" s="302"/>
      <c r="AJ344" s="302"/>
      <c r="AK344" s="302"/>
      <c r="AL344" s="302"/>
      <c r="AM344" s="302"/>
      <c r="AN344" s="302"/>
      <c r="AO344" s="302"/>
      <c r="AP344" s="302"/>
      <c r="AX344" s="302"/>
      <c r="AY344" s="302"/>
      <c r="AZ344" s="302"/>
      <c r="BA344" s="302"/>
      <c r="BB344" s="302"/>
      <c r="BC344" s="302"/>
      <c r="BD344" s="302"/>
      <c r="BE344" s="60"/>
    </row>
    <row r="345" spans="1:57" s="301" customFormat="1">
      <c r="A345" s="57"/>
      <c r="B345" s="57"/>
      <c r="C345" s="57"/>
      <c r="D345" s="57"/>
      <c r="E345" s="57"/>
      <c r="F345" s="57"/>
      <c r="G345" s="57"/>
      <c r="H345" s="57"/>
      <c r="I345" s="300"/>
      <c r="J345" s="57"/>
      <c r="K345" s="57"/>
      <c r="L345" s="57"/>
      <c r="M345" s="57"/>
      <c r="N345" s="57"/>
      <c r="O345" s="57"/>
      <c r="P345" s="146"/>
      <c r="Q345" s="146"/>
      <c r="V345" s="302"/>
      <c r="W345" s="302"/>
      <c r="X345" s="302"/>
      <c r="Y345" s="302"/>
      <c r="Z345" s="302"/>
      <c r="AA345" s="302"/>
      <c r="AB345" s="56"/>
      <c r="AC345" s="302"/>
      <c r="AD345" s="302"/>
      <c r="AE345" s="302"/>
      <c r="AF345" s="302"/>
      <c r="AG345" s="302"/>
      <c r="AH345" s="302"/>
      <c r="AI345" s="302"/>
      <c r="AJ345" s="302"/>
      <c r="AK345" s="302"/>
      <c r="AL345" s="302"/>
      <c r="AM345" s="302"/>
      <c r="AN345" s="302"/>
      <c r="AO345" s="302"/>
      <c r="AP345" s="302"/>
      <c r="AX345" s="302"/>
      <c r="AY345" s="302"/>
      <c r="AZ345" s="302"/>
      <c r="BA345" s="302"/>
      <c r="BB345" s="302"/>
      <c r="BC345" s="302"/>
      <c r="BD345" s="302"/>
      <c r="BE345" s="60"/>
    </row>
    <row r="346" spans="1:57" s="301" customFormat="1">
      <c r="A346" s="57"/>
      <c r="B346" s="57"/>
      <c r="C346" s="57"/>
      <c r="D346" s="57"/>
      <c r="E346" s="57"/>
      <c r="F346" s="57"/>
      <c r="G346" s="57"/>
      <c r="H346" s="57"/>
      <c r="I346" s="300"/>
      <c r="J346" s="57"/>
      <c r="K346" s="57"/>
      <c r="L346" s="57"/>
      <c r="M346" s="57"/>
      <c r="N346" s="57"/>
      <c r="O346" s="57"/>
      <c r="P346" s="146"/>
      <c r="Q346" s="146"/>
      <c r="V346" s="302"/>
      <c r="W346" s="302"/>
      <c r="X346" s="302"/>
      <c r="Y346" s="302"/>
      <c r="Z346" s="302"/>
      <c r="AA346" s="302"/>
      <c r="AB346" s="56"/>
      <c r="AC346" s="302"/>
      <c r="AD346" s="302"/>
      <c r="AE346" s="302"/>
      <c r="AF346" s="302"/>
      <c r="AG346" s="302"/>
      <c r="AH346" s="302"/>
      <c r="AI346" s="302"/>
      <c r="AJ346" s="302"/>
      <c r="AK346" s="302"/>
      <c r="AL346" s="302"/>
      <c r="AM346" s="302"/>
      <c r="AN346" s="302"/>
      <c r="AO346" s="302"/>
      <c r="AP346" s="302"/>
      <c r="AX346" s="302"/>
      <c r="AY346" s="302"/>
      <c r="AZ346" s="302"/>
      <c r="BA346" s="302"/>
      <c r="BB346" s="302"/>
      <c r="BC346" s="302"/>
      <c r="BD346" s="302"/>
      <c r="BE346" s="60"/>
    </row>
    <row r="347" spans="1:57" s="301" customFormat="1">
      <c r="A347" s="57"/>
      <c r="B347" s="57"/>
      <c r="C347" s="57"/>
      <c r="D347" s="57"/>
      <c r="E347" s="57"/>
      <c r="F347" s="57"/>
      <c r="G347" s="57"/>
      <c r="H347" s="57"/>
      <c r="I347" s="300"/>
      <c r="J347" s="57"/>
      <c r="K347" s="57"/>
      <c r="L347" s="57"/>
      <c r="M347" s="57"/>
      <c r="N347" s="57"/>
      <c r="O347" s="57"/>
      <c r="P347" s="146"/>
      <c r="Q347" s="146"/>
      <c r="V347" s="302"/>
      <c r="W347" s="302"/>
      <c r="X347" s="302"/>
      <c r="Y347" s="302"/>
      <c r="Z347" s="302"/>
      <c r="AA347" s="302"/>
      <c r="AB347" s="56"/>
      <c r="AC347" s="302"/>
      <c r="AD347" s="302"/>
      <c r="AE347" s="302"/>
      <c r="AF347" s="302"/>
      <c r="AG347" s="302"/>
      <c r="AH347" s="302"/>
      <c r="AI347" s="302"/>
      <c r="AJ347" s="302"/>
      <c r="AK347" s="302"/>
      <c r="AL347" s="302"/>
      <c r="AM347" s="302"/>
      <c r="AN347" s="302"/>
      <c r="AO347" s="302"/>
      <c r="AP347" s="302"/>
      <c r="AX347" s="302"/>
      <c r="AY347" s="302"/>
      <c r="AZ347" s="302"/>
      <c r="BA347" s="302"/>
      <c r="BB347" s="302"/>
      <c r="BC347" s="302"/>
      <c r="BD347" s="302"/>
      <c r="BE347" s="60"/>
    </row>
    <row r="348" spans="1:57" s="301" customFormat="1">
      <c r="A348" s="57"/>
      <c r="B348" s="57"/>
      <c r="C348" s="57"/>
      <c r="D348" s="57"/>
      <c r="E348" s="57"/>
      <c r="F348" s="57"/>
      <c r="G348" s="57"/>
      <c r="H348" s="57"/>
      <c r="I348" s="300"/>
      <c r="J348" s="57"/>
      <c r="K348" s="57"/>
      <c r="L348" s="57"/>
      <c r="M348" s="57"/>
      <c r="N348" s="57"/>
      <c r="O348" s="57"/>
      <c r="P348" s="146"/>
      <c r="Q348" s="146"/>
      <c r="V348" s="302"/>
      <c r="W348" s="302"/>
      <c r="X348" s="302"/>
      <c r="Y348" s="302"/>
      <c r="Z348" s="302"/>
      <c r="AA348" s="302"/>
      <c r="AB348" s="56"/>
      <c r="AC348" s="302"/>
      <c r="AD348" s="302"/>
      <c r="AE348" s="302"/>
      <c r="AF348" s="302"/>
      <c r="AG348" s="302"/>
      <c r="AH348" s="302"/>
      <c r="AI348" s="302"/>
      <c r="AJ348" s="302"/>
      <c r="AK348" s="302"/>
      <c r="AL348" s="302"/>
      <c r="AM348" s="302"/>
      <c r="AN348" s="302"/>
      <c r="AO348" s="302"/>
      <c r="AP348" s="302"/>
      <c r="AX348" s="302"/>
      <c r="AY348" s="302"/>
      <c r="AZ348" s="302"/>
      <c r="BA348" s="302"/>
      <c r="BB348" s="302"/>
      <c r="BC348" s="302"/>
      <c r="BD348" s="302"/>
      <c r="BE348" s="60"/>
    </row>
    <row r="349" spans="1:57" s="301" customFormat="1">
      <c r="A349" s="57"/>
      <c r="B349" s="57"/>
      <c r="C349" s="57"/>
      <c r="D349" s="57"/>
      <c r="E349" s="57"/>
      <c r="F349" s="57"/>
      <c r="G349" s="57"/>
      <c r="H349" s="57"/>
      <c r="I349" s="300"/>
      <c r="J349" s="57"/>
      <c r="K349" s="57"/>
      <c r="L349" s="57"/>
      <c r="M349" s="57"/>
      <c r="N349" s="57"/>
      <c r="O349" s="57"/>
      <c r="P349" s="146"/>
      <c r="Q349" s="146"/>
      <c r="V349" s="302"/>
      <c r="W349" s="302"/>
      <c r="X349" s="302"/>
      <c r="Y349" s="302"/>
      <c r="Z349" s="302"/>
      <c r="AA349" s="302"/>
      <c r="AB349" s="56"/>
      <c r="AC349" s="302"/>
      <c r="AD349" s="302"/>
      <c r="AE349" s="302"/>
      <c r="AF349" s="302"/>
      <c r="AG349" s="302"/>
      <c r="AH349" s="302"/>
      <c r="AI349" s="302"/>
      <c r="AJ349" s="302"/>
      <c r="AK349" s="302"/>
      <c r="AL349" s="302"/>
      <c r="AM349" s="302"/>
      <c r="AN349" s="302"/>
      <c r="AO349" s="302"/>
      <c r="AP349" s="302"/>
      <c r="AX349" s="302"/>
      <c r="AY349" s="302"/>
      <c r="AZ349" s="302"/>
      <c r="BA349" s="302"/>
      <c r="BB349" s="302"/>
      <c r="BC349" s="302"/>
      <c r="BD349" s="302"/>
      <c r="BE349" s="60"/>
    </row>
    <row r="350" spans="1:57" s="301" customFormat="1">
      <c r="A350" s="57"/>
      <c r="B350" s="57"/>
      <c r="C350" s="57"/>
      <c r="D350" s="57"/>
      <c r="E350" s="57"/>
      <c r="F350" s="57"/>
      <c r="G350" s="57"/>
      <c r="H350" s="57"/>
      <c r="I350" s="300"/>
      <c r="J350" s="57"/>
      <c r="K350" s="57"/>
      <c r="L350" s="57"/>
      <c r="M350" s="57"/>
      <c r="N350" s="57"/>
      <c r="O350" s="57"/>
      <c r="P350" s="146"/>
      <c r="Q350" s="146"/>
      <c r="V350" s="302"/>
      <c r="W350" s="302"/>
      <c r="X350" s="302"/>
      <c r="Y350" s="302"/>
      <c r="Z350" s="302"/>
      <c r="AA350" s="302"/>
      <c r="AB350" s="56"/>
      <c r="AC350" s="302"/>
      <c r="AD350" s="302"/>
      <c r="AE350" s="302"/>
      <c r="AF350" s="302"/>
      <c r="AG350" s="302"/>
      <c r="AH350" s="302"/>
      <c r="AI350" s="302"/>
      <c r="AJ350" s="302"/>
      <c r="AK350" s="302"/>
      <c r="AL350" s="302"/>
      <c r="AM350" s="302"/>
      <c r="AN350" s="302"/>
      <c r="AO350" s="302"/>
      <c r="AP350" s="302"/>
      <c r="AX350" s="302"/>
      <c r="AY350" s="302"/>
      <c r="AZ350" s="302"/>
      <c r="BA350" s="302"/>
      <c r="BB350" s="302"/>
      <c r="BC350" s="302"/>
      <c r="BD350" s="302"/>
      <c r="BE350" s="60"/>
    </row>
    <row r="351" spans="1:57" s="301" customFormat="1">
      <c r="A351" s="57"/>
      <c r="B351" s="57"/>
      <c r="C351" s="57"/>
      <c r="D351" s="57"/>
      <c r="E351" s="57"/>
      <c r="F351" s="57"/>
      <c r="G351" s="57"/>
      <c r="H351" s="57"/>
      <c r="I351" s="300"/>
      <c r="J351" s="57"/>
      <c r="K351" s="57"/>
      <c r="L351" s="57"/>
      <c r="M351" s="57"/>
      <c r="N351" s="57"/>
      <c r="O351" s="57"/>
      <c r="P351" s="146"/>
      <c r="Q351" s="146"/>
      <c r="V351" s="302"/>
      <c r="W351" s="302"/>
      <c r="X351" s="302"/>
      <c r="Y351" s="302"/>
      <c r="Z351" s="302"/>
      <c r="AA351" s="302"/>
      <c r="AB351" s="56"/>
      <c r="AC351" s="302"/>
      <c r="AD351" s="302"/>
      <c r="AE351" s="302"/>
      <c r="AF351" s="302"/>
      <c r="AG351" s="302"/>
      <c r="AH351" s="302"/>
      <c r="AI351" s="302"/>
      <c r="AJ351" s="302"/>
      <c r="AK351" s="302"/>
      <c r="AL351" s="302"/>
      <c r="AM351" s="302"/>
      <c r="AN351" s="302"/>
      <c r="AO351" s="302"/>
      <c r="AP351" s="302"/>
      <c r="AX351" s="302"/>
      <c r="AY351" s="302"/>
      <c r="AZ351" s="302"/>
      <c r="BA351" s="302"/>
      <c r="BB351" s="302"/>
      <c r="BC351" s="302"/>
      <c r="BD351" s="302"/>
      <c r="BE351" s="60"/>
    </row>
    <row r="352" spans="1:57" s="301" customFormat="1">
      <c r="A352" s="57"/>
      <c r="B352" s="57"/>
      <c r="C352" s="57"/>
      <c r="D352" s="57"/>
      <c r="E352" s="57"/>
      <c r="F352" s="57"/>
      <c r="G352" s="57"/>
      <c r="H352" s="57"/>
      <c r="I352" s="300"/>
      <c r="J352" s="57"/>
      <c r="K352" s="57"/>
      <c r="L352" s="57"/>
      <c r="M352" s="57"/>
      <c r="N352" s="57"/>
      <c r="O352" s="57"/>
      <c r="P352" s="146"/>
      <c r="Q352" s="146"/>
      <c r="V352" s="302"/>
      <c r="W352" s="302"/>
      <c r="X352" s="302"/>
      <c r="Y352" s="302"/>
      <c r="Z352" s="302"/>
      <c r="AA352" s="302"/>
      <c r="AB352" s="56"/>
      <c r="AC352" s="302"/>
      <c r="AD352" s="302"/>
      <c r="AE352" s="302"/>
      <c r="AF352" s="302"/>
      <c r="AG352" s="302"/>
      <c r="AH352" s="302"/>
      <c r="AI352" s="302"/>
      <c r="AJ352" s="302"/>
      <c r="AK352" s="302"/>
      <c r="AL352" s="302"/>
      <c r="AM352" s="302"/>
      <c r="AN352" s="302"/>
      <c r="AO352" s="302"/>
      <c r="AP352" s="302"/>
      <c r="AX352" s="302"/>
      <c r="AY352" s="302"/>
      <c r="AZ352" s="302"/>
      <c r="BA352" s="302"/>
      <c r="BB352" s="302"/>
      <c r="BC352" s="302"/>
      <c r="BD352" s="302"/>
      <c r="BE352" s="60"/>
    </row>
    <row r="353" spans="1:57" s="301" customFormat="1">
      <c r="A353" s="57"/>
      <c r="B353" s="57"/>
      <c r="C353" s="57"/>
      <c r="D353" s="57"/>
      <c r="E353" s="57"/>
      <c r="F353" s="57"/>
      <c r="G353" s="57"/>
      <c r="H353" s="57"/>
      <c r="I353" s="300"/>
      <c r="J353" s="57"/>
      <c r="K353" s="57"/>
      <c r="L353" s="57"/>
      <c r="M353" s="57"/>
      <c r="N353" s="57"/>
      <c r="O353" s="57"/>
      <c r="P353" s="146"/>
      <c r="Q353" s="146"/>
      <c r="V353" s="302"/>
      <c r="W353" s="302"/>
      <c r="X353" s="302"/>
      <c r="Y353" s="302"/>
      <c r="Z353" s="302"/>
      <c r="AA353" s="302"/>
      <c r="AB353" s="56"/>
      <c r="AC353" s="302"/>
      <c r="AD353" s="302"/>
      <c r="AE353" s="302"/>
      <c r="AF353" s="302"/>
      <c r="AG353" s="302"/>
      <c r="AH353" s="302"/>
      <c r="AI353" s="302"/>
      <c r="AJ353" s="302"/>
      <c r="AK353" s="302"/>
      <c r="AL353" s="302"/>
      <c r="AM353" s="302"/>
      <c r="AN353" s="302"/>
      <c r="AO353" s="302"/>
      <c r="AP353" s="302"/>
      <c r="AX353" s="302"/>
      <c r="AY353" s="302"/>
      <c r="AZ353" s="302"/>
      <c r="BA353" s="302"/>
      <c r="BB353" s="302"/>
      <c r="BC353" s="302"/>
      <c r="BD353" s="302"/>
      <c r="BE353" s="60"/>
    </row>
    <row r="354" spans="1:57" s="301" customFormat="1">
      <c r="A354" s="57"/>
      <c r="B354" s="57"/>
      <c r="C354" s="57"/>
      <c r="D354" s="57"/>
      <c r="E354" s="57"/>
      <c r="F354" s="57"/>
      <c r="G354" s="57"/>
      <c r="H354" s="57"/>
      <c r="I354" s="300"/>
      <c r="J354" s="57"/>
      <c r="K354" s="57"/>
      <c r="L354" s="57"/>
      <c r="M354" s="57"/>
      <c r="N354" s="57"/>
      <c r="O354" s="57"/>
      <c r="P354" s="146"/>
      <c r="Q354" s="146"/>
      <c r="V354" s="302"/>
      <c r="W354" s="302"/>
      <c r="X354" s="302"/>
      <c r="Y354" s="302"/>
      <c r="Z354" s="302"/>
      <c r="AA354" s="302"/>
      <c r="AB354" s="56"/>
      <c r="AC354" s="302"/>
      <c r="AD354" s="302"/>
      <c r="AE354" s="302"/>
      <c r="AF354" s="302"/>
      <c r="AG354" s="302"/>
      <c r="AH354" s="302"/>
      <c r="AI354" s="302"/>
      <c r="AJ354" s="302"/>
      <c r="AK354" s="302"/>
      <c r="AL354" s="302"/>
      <c r="AM354" s="302"/>
      <c r="AN354" s="302"/>
      <c r="AO354" s="302"/>
      <c r="AP354" s="302"/>
      <c r="AX354" s="302"/>
      <c r="AY354" s="302"/>
      <c r="AZ354" s="302"/>
      <c r="BA354" s="302"/>
      <c r="BB354" s="302"/>
      <c r="BC354" s="302"/>
      <c r="BD354" s="302"/>
      <c r="BE354" s="60"/>
    </row>
    <row r="355" spans="1:57" s="301" customFormat="1">
      <c r="A355" s="57"/>
      <c r="B355" s="57"/>
      <c r="C355" s="57"/>
      <c r="D355" s="57"/>
      <c r="E355" s="57"/>
      <c r="F355" s="57"/>
      <c r="G355" s="57"/>
      <c r="H355" s="57"/>
      <c r="I355" s="300"/>
      <c r="J355" s="57"/>
      <c r="K355" s="57"/>
      <c r="L355" s="57"/>
      <c r="M355" s="57"/>
      <c r="N355" s="57"/>
      <c r="O355" s="57"/>
      <c r="P355" s="146"/>
      <c r="Q355" s="146"/>
      <c r="V355" s="302"/>
      <c r="W355" s="302"/>
      <c r="X355" s="302"/>
      <c r="Y355" s="302"/>
      <c r="Z355" s="302"/>
      <c r="AA355" s="302"/>
      <c r="AB355" s="56"/>
      <c r="AC355" s="302"/>
      <c r="AD355" s="302"/>
      <c r="AE355" s="302"/>
      <c r="AF355" s="302"/>
      <c r="AG355" s="302"/>
      <c r="AH355" s="302"/>
      <c r="AI355" s="302"/>
      <c r="AJ355" s="302"/>
      <c r="AK355" s="302"/>
      <c r="AL355" s="302"/>
      <c r="AM355" s="302"/>
      <c r="AN355" s="302"/>
      <c r="AO355" s="302"/>
      <c r="AP355" s="302"/>
      <c r="AX355" s="302"/>
      <c r="AY355" s="302"/>
      <c r="AZ355" s="302"/>
      <c r="BA355" s="302"/>
      <c r="BB355" s="302"/>
      <c r="BC355" s="302"/>
      <c r="BD355" s="302"/>
      <c r="BE355" s="60"/>
    </row>
    <row r="356" spans="1:57" s="301" customFormat="1">
      <c r="A356" s="57"/>
      <c r="B356" s="57"/>
      <c r="C356" s="57"/>
      <c r="D356" s="57"/>
      <c r="E356" s="57"/>
      <c r="F356" s="57"/>
      <c r="G356" s="57"/>
      <c r="H356" s="57"/>
      <c r="I356" s="300"/>
      <c r="J356" s="57"/>
      <c r="K356" s="57"/>
      <c r="L356" s="57"/>
      <c r="M356" s="57"/>
      <c r="N356" s="57"/>
      <c r="O356" s="57"/>
      <c r="P356" s="146"/>
      <c r="Q356" s="146"/>
      <c r="V356" s="302"/>
      <c r="W356" s="302"/>
      <c r="X356" s="302"/>
      <c r="Y356" s="302"/>
      <c r="Z356" s="302"/>
      <c r="AA356" s="302"/>
      <c r="AB356" s="56"/>
      <c r="AC356" s="302"/>
      <c r="AD356" s="302"/>
      <c r="AE356" s="302"/>
      <c r="AF356" s="302"/>
      <c r="AG356" s="302"/>
      <c r="AH356" s="302"/>
      <c r="AI356" s="302"/>
      <c r="AJ356" s="302"/>
      <c r="AK356" s="302"/>
      <c r="AL356" s="302"/>
      <c r="AM356" s="302"/>
      <c r="AN356" s="302"/>
      <c r="AO356" s="302"/>
      <c r="AP356" s="302"/>
      <c r="AX356" s="302"/>
      <c r="AY356" s="302"/>
      <c r="AZ356" s="302"/>
      <c r="BA356" s="302"/>
      <c r="BB356" s="302"/>
      <c r="BC356" s="302"/>
      <c r="BD356" s="302"/>
      <c r="BE356" s="60"/>
    </row>
    <row r="357" spans="1:57" s="301" customFormat="1">
      <c r="A357" s="57"/>
      <c r="B357" s="57"/>
      <c r="C357" s="57"/>
      <c r="D357" s="57"/>
      <c r="E357" s="57"/>
      <c r="F357" s="57"/>
      <c r="G357" s="57"/>
      <c r="H357" s="57"/>
      <c r="I357" s="300"/>
      <c r="J357" s="57"/>
      <c r="K357" s="57"/>
      <c r="L357" s="57"/>
      <c r="M357" s="57"/>
      <c r="N357" s="57"/>
      <c r="O357" s="57"/>
      <c r="P357" s="146"/>
      <c r="Q357" s="146"/>
      <c r="V357" s="302"/>
      <c r="W357" s="302"/>
      <c r="X357" s="302"/>
      <c r="Y357" s="302"/>
      <c r="Z357" s="302"/>
      <c r="AA357" s="302"/>
      <c r="AB357" s="56"/>
      <c r="AC357" s="302"/>
      <c r="AD357" s="302"/>
      <c r="AE357" s="302"/>
      <c r="AF357" s="302"/>
      <c r="AG357" s="302"/>
      <c r="AH357" s="302"/>
      <c r="AI357" s="302"/>
      <c r="AJ357" s="302"/>
      <c r="AK357" s="302"/>
      <c r="AL357" s="302"/>
      <c r="AM357" s="302"/>
      <c r="AN357" s="302"/>
      <c r="AO357" s="302"/>
      <c r="AP357" s="302"/>
      <c r="AX357" s="302"/>
      <c r="AY357" s="302"/>
      <c r="AZ357" s="302"/>
      <c r="BA357" s="302"/>
      <c r="BB357" s="302"/>
      <c r="BC357" s="302"/>
      <c r="BD357" s="302"/>
      <c r="BE357" s="60"/>
    </row>
    <row r="358" spans="1:57" s="301" customFormat="1">
      <c r="A358" s="57"/>
      <c r="B358" s="57"/>
      <c r="C358" s="57"/>
      <c r="D358" s="57"/>
      <c r="E358" s="57"/>
      <c r="F358" s="57"/>
      <c r="G358" s="57"/>
      <c r="H358" s="57"/>
      <c r="I358" s="300"/>
      <c r="J358" s="57"/>
      <c r="K358" s="57"/>
      <c r="L358" s="57"/>
      <c r="M358" s="57"/>
      <c r="N358" s="57"/>
      <c r="O358" s="57"/>
      <c r="P358" s="146"/>
      <c r="Q358" s="146"/>
      <c r="V358" s="302"/>
      <c r="W358" s="302"/>
      <c r="X358" s="302"/>
      <c r="Y358" s="302"/>
      <c r="Z358" s="302"/>
      <c r="AA358" s="302"/>
      <c r="AB358" s="56"/>
      <c r="AC358" s="302"/>
      <c r="AD358" s="302"/>
      <c r="AE358" s="302"/>
      <c r="AF358" s="302"/>
      <c r="AG358" s="302"/>
      <c r="AH358" s="302"/>
      <c r="AI358" s="302"/>
      <c r="AJ358" s="302"/>
      <c r="AK358" s="302"/>
      <c r="AL358" s="302"/>
      <c r="AM358" s="302"/>
      <c r="AN358" s="302"/>
      <c r="AO358" s="302"/>
      <c r="AP358" s="302"/>
      <c r="AX358" s="302"/>
      <c r="AY358" s="302"/>
      <c r="AZ358" s="302"/>
      <c r="BA358" s="302"/>
      <c r="BB358" s="302"/>
      <c r="BC358" s="302"/>
      <c r="BD358" s="302"/>
      <c r="BE358" s="60"/>
    </row>
    <row r="359" spans="1:57" s="301" customFormat="1">
      <c r="A359" s="57"/>
      <c r="B359" s="57"/>
      <c r="C359" s="57"/>
      <c r="D359" s="57"/>
      <c r="E359" s="57"/>
      <c r="F359" s="57"/>
      <c r="G359" s="57"/>
      <c r="H359" s="57"/>
      <c r="I359" s="300"/>
      <c r="J359" s="57"/>
      <c r="K359" s="57"/>
      <c r="L359" s="57"/>
      <c r="M359" s="57"/>
      <c r="N359" s="57"/>
      <c r="O359" s="57"/>
      <c r="P359" s="146"/>
      <c r="Q359" s="146"/>
      <c r="V359" s="302"/>
      <c r="W359" s="302"/>
      <c r="X359" s="302"/>
      <c r="Y359" s="302"/>
      <c r="Z359" s="302"/>
      <c r="AA359" s="302"/>
      <c r="AB359" s="56"/>
      <c r="AC359" s="302"/>
      <c r="AD359" s="302"/>
      <c r="AE359" s="302"/>
      <c r="AF359" s="302"/>
      <c r="AG359" s="302"/>
      <c r="AH359" s="302"/>
      <c r="AI359" s="302"/>
      <c r="AJ359" s="302"/>
      <c r="AK359" s="302"/>
      <c r="AL359" s="302"/>
      <c r="AM359" s="302"/>
      <c r="AN359" s="302"/>
      <c r="AO359" s="302"/>
      <c r="AP359" s="302"/>
      <c r="AX359" s="302"/>
      <c r="AY359" s="302"/>
      <c r="AZ359" s="302"/>
      <c r="BA359" s="302"/>
      <c r="BB359" s="302"/>
      <c r="BC359" s="302"/>
      <c r="BD359" s="302"/>
      <c r="BE359" s="60"/>
    </row>
    <row r="360" spans="1:57" s="301" customFormat="1">
      <c r="A360" s="57"/>
      <c r="B360" s="57"/>
      <c r="C360" s="57"/>
      <c r="D360" s="57"/>
      <c r="E360" s="57"/>
      <c r="F360" s="57"/>
      <c r="G360" s="57"/>
      <c r="H360" s="57"/>
      <c r="I360" s="300"/>
      <c r="J360" s="57"/>
      <c r="K360" s="57"/>
      <c r="L360" s="57"/>
      <c r="M360" s="57"/>
      <c r="N360" s="57"/>
      <c r="O360" s="57"/>
      <c r="P360" s="146"/>
      <c r="Q360" s="146"/>
      <c r="V360" s="302"/>
      <c r="W360" s="302"/>
      <c r="X360" s="302"/>
      <c r="Y360" s="302"/>
      <c r="Z360" s="302"/>
      <c r="AA360" s="302"/>
      <c r="AB360" s="56"/>
      <c r="AC360" s="302"/>
      <c r="AD360" s="302"/>
      <c r="AE360" s="302"/>
      <c r="AF360" s="302"/>
      <c r="AG360" s="302"/>
      <c r="AH360" s="302"/>
      <c r="AI360" s="302"/>
      <c r="AJ360" s="302"/>
      <c r="AK360" s="302"/>
      <c r="AL360" s="302"/>
      <c r="AM360" s="302"/>
      <c r="AN360" s="302"/>
      <c r="AO360" s="302"/>
      <c r="AP360" s="302"/>
      <c r="AX360" s="302"/>
      <c r="AY360" s="302"/>
      <c r="AZ360" s="302"/>
      <c r="BA360" s="302"/>
      <c r="BB360" s="302"/>
      <c r="BC360" s="302"/>
      <c r="BD360" s="302"/>
      <c r="BE360" s="60"/>
    </row>
    <row r="361" spans="1:57" s="301" customFormat="1">
      <c r="A361" s="57"/>
      <c r="B361" s="57"/>
      <c r="C361" s="57"/>
      <c r="D361" s="57"/>
      <c r="E361" s="57"/>
      <c r="F361" s="57"/>
      <c r="G361" s="57"/>
      <c r="H361" s="57"/>
      <c r="I361" s="300"/>
      <c r="J361" s="57"/>
      <c r="K361" s="57"/>
      <c r="L361" s="57"/>
      <c r="M361" s="57"/>
      <c r="N361" s="57"/>
      <c r="O361" s="57"/>
      <c r="P361" s="146"/>
      <c r="Q361" s="146"/>
      <c r="V361" s="302"/>
      <c r="W361" s="302"/>
      <c r="X361" s="302"/>
      <c r="Y361" s="302"/>
      <c r="Z361" s="302"/>
      <c r="AA361" s="302"/>
      <c r="AB361" s="56"/>
      <c r="AC361" s="302"/>
      <c r="AD361" s="302"/>
      <c r="AE361" s="302"/>
      <c r="AF361" s="302"/>
      <c r="AG361" s="302"/>
      <c r="AH361" s="302"/>
      <c r="AI361" s="302"/>
      <c r="AJ361" s="302"/>
      <c r="AK361" s="302"/>
      <c r="AL361" s="302"/>
      <c r="AM361" s="302"/>
      <c r="AN361" s="302"/>
      <c r="AO361" s="302"/>
      <c r="AP361" s="302"/>
      <c r="AX361" s="302"/>
      <c r="AY361" s="302"/>
      <c r="AZ361" s="302"/>
      <c r="BA361" s="302"/>
      <c r="BB361" s="302"/>
      <c r="BC361" s="302"/>
      <c r="BD361" s="302"/>
      <c r="BE361" s="60"/>
    </row>
    <row r="362" spans="1:57" s="301" customFormat="1">
      <c r="A362" s="57"/>
      <c r="B362" s="57"/>
      <c r="C362" s="57"/>
      <c r="D362" s="57"/>
      <c r="E362" s="57"/>
      <c r="F362" s="57"/>
      <c r="G362" s="57"/>
      <c r="H362" s="57"/>
      <c r="I362" s="300"/>
      <c r="J362" s="57"/>
      <c r="K362" s="57"/>
      <c r="L362" s="57"/>
      <c r="M362" s="57"/>
      <c r="N362" s="57"/>
      <c r="O362" s="57"/>
      <c r="P362" s="146"/>
      <c r="Q362" s="146"/>
      <c r="V362" s="302"/>
      <c r="W362" s="302"/>
      <c r="X362" s="302"/>
      <c r="Y362" s="302"/>
      <c r="Z362" s="302"/>
      <c r="AA362" s="302"/>
      <c r="AB362" s="56"/>
      <c r="AC362" s="302"/>
      <c r="AD362" s="302"/>
      <c r="AE362" s="302"/>
      <c r="AF362" s="302"/>
      <c r="AG362" s="302"/>
      <c r="AH362" s="302"/>
      <c r="AI362" s="302"/>
      <c r="AJ362" s="302"/>
      <c r="AK362" s="302"/>
      <c r="AL362" s="302"/>
      <c r="AM362" s="302"/>
      <c r="AN362" s="302"/>
      <c r="AO362" s="302"/>
      <c r="AP362" s="302"/>
      <c r="AX362" s="302"/>
      <c r="AY362" s="302"/>
      <c r="AZ362" s="302"/>
      <c r="BA362" s="302"/>
      <c r="BB362" s="302"/>
      <c r="BC362" s="302"/>
      <c r="BD362" s="302"/>
      <c r="BE362" s="60"/>
    </row>
    <row r="363" spans="1:57" s="301" customFormat="1">
      <c r="A363" s="57"/>
      <c r="B363" s="57"/>
      <c r="C363" s="57"/>
      <c r="D363" s="57"/>
      <c r="E363" s="57"/>
      <c r="F363" s="57"/>
      <c r="G363" s="57"/>
      <c r="H363" s="57"/>
      <c r="I363" s="300"/>
      <c r="J363" s="57"/>
      <c r="K363" s="57"/>
      <c r="L363" s="57"/>
      <c r="M363" s="57"/>
      <c r="N363" s="57"/>
      <c r="O363" s="57"/>
      <c r="P363" s="146"/>
      <c r="Q363" s="146"/>
      <c r="V363" s="302"/>
      <c r="W363" s="302"/>
      <c r="X363" s="302"/>
      <c r="Y363" s="302"/>
      <c r="Z363" s="302"/>
      <c r="AA363" s="302"/>
      <c r="AB363" s="56"/>
      <c r="AC363" s="302"/>
      <c r="AD363" s="302"/>
      <c r="AE363" s="302"/>
      <c r="AF363" s="302"/>
      <c r="AG363" s="302"/>
      <c r="AH363" s="302"/>
      <c r="AI363" s="302"/>
      <c r="AJ363" s="302"/>
      <c r="AK363" s="302"/>
      <c r="AL363" s="302"/>
      <c r="AM363" s="302"/>
      <c r="AN363" s="302"/>
      <c r="AO363" s="302"/>
      <c r="AP363" s="302"/>
      <c r="AX363" s="302"/>
      <c r="AY363" s="302"/>
      <c r="AZ363" s="302"/>
      <c r="BA363" s="302"/>
      <c r="BB363" s="302"/>
      <c r="BC363" s="302"/>
      <c r="BD363" s="302"/>
      <c r="BE363" s="60"/>
    </row>
    <row r="364" spans="1:57" s="301" customFormat="1">
      <c r="A364" s="57"/>
      <c r="B364" s="57"/>
      <c r="C364" s="57"/>
      <c r="D364" s="57"/>
      <c r="E364" s="57"/>
      <c r="F364" s="57"/>
      <c r="G364" s="57"/>
      <c r="H364" s="57"/>
      <c r="I364" s="300"/>
      <c r="J364" s="57"/>
      <c r="K364" s="57"/>
      <c r="L364" s="57"/>
      <c r="M364" s="57"/>
      <c r="N364" s="57"/>
      <c r="O364" s="57"/>
      <c r="P364" s="146"/>
      <c r="Q364" s="146"/>
      <c r="V364" s="302"/>
      <c r="W364" s="302"/>
      <c r="X364" s="302"/>
      <c r="Y364" s="302"/>
      <c r="Z364" s="302"/>
      <c r="AA364" s="302"/>
      <c r="AB364" s="56"/>
      <c r="AC364" s="302"/>
      <c r="AD364" s="302"/>
      <c r="AE364" s="302"/>
      <c r="AF364" s="302"/>
      <c r="AG364" s="302"/>
      <c r="AH364" s="302"/>
      <c r="AI364" s="302"/>
      <c r="AJ364" s="302"/>
      <c r="AK364" s="302"/>
      <c r="AL364" s="302"/>
      <c r="AM364" s="302"/>
      <c r="AN364" s="302"/>
      <c r="AO364" s="302"/>
      <c r="AP364" s="302"/>
      <c r="AX364" s="302"/>
      <c r="AY364" s="302"/>
      <c r="AZ364" s="302"/>
      <c r="BA364" s="302"/>
      <c r="BB364" s="302"/>
      <c r="BC364" s="302"/>
      <c r="BD364" s="302"/>
      <c r="BE364" s="60"/>
    </row>
    <row r="365" spans="1:57" s="301" customFormat="1">
      <c r="A365" s="57"/>
      <c r="B365" s="57"/>
      <c r="C365" s="57"/>
      <c r="D365" s="57"/>
      <c r="E365" s="57"/>
      <c r="F365" s="57"/>
      <c r="G365" s="57"/>
      <c r="H365" s="57"/>
      <c r="I365" s="300"/>
      <c r="J365" s="57"/>
      <c r="K365" s="57"/>
      <c r="L365" s="57"/>
      <c r="M365" s="57"/>
      <c r="N365" s="57"/>
      <c r="O365" s="57"/>
      <c r="P365" s="146"/>
      <c r="Q365" s="146"/>
      <c r="V365" s="302"/>
      <c r="W365" s="302"/>
      <c r="X365" s="302"/>
      <c r="Y365" s="302"/>
      <c r="Z365" s="302"/>
      <c r="AA365" s="302"/>
      <c r="AB365" s="56"/>
      <c r="AC365" s="302"/>
      <c r="AD365" s="302"/>
      <c r="AE365" s="302"/>
      <c r="AF365" s="302"/>
      <c r="AG365" s="302"/>
      <c r="AH365" s="302"/>
      <c r="AI365" s="302"/>
      <c r="AJ365" s="302"/>
      <c r="AK365" s="302"/>
      <c r="AL365" s="302"/>
      <c r="AM365" s="302"/>
      <c r="AN365" s="302"/>
      <c r="AO365" s="302"/>
      <c r="AP365" s="302"/>
      <c r="AX365" s="302"/>
      <c r="AY365" s="302"/>
      <c r="AZ365" s="302"/>
      <c r="BA365" s="302"/>
      <c r="BB365" s="302"/>
      <c r="BC365" s="302"/>
      <c r="BD365" s="302"/>
      <c r="BE365" s="60"/>
    </row>
    <row r="366" spans="1:57" s="301" customFormat="1">
      <c r="A366" s="57"/>
      <c r="B366" s="57"/>
      <c r="C366" s="57"/>
      <c r="D366" s="57"/>
      <c r="E366" s="57"/>
      <c r="F366" s="57"/>
      <c r="G366" s="57"/>
      <c r="H366" s="57"/>
      <c r="I366" s="300"/>
      <c r="J366" s="57"/>
      <c r="K366" s="57"/>
      <c r="L366" s="57"/>
      <c r="M366" s="57"/>
      <c r="N366" s="57"/>
      <c r="O366" s="57"/>
      <c r="P366" s="146"/>
      <c r="Q366" s="146"/>
      <c r="V366" s="302"/>
      <c r="W366" s="302"/>
      <c r="X366" s="302"/>
      <c r="Y366" s="302"/>
      <c r="Z366" s="302"/>
      <c r="AA366" s="302"/>
      <c r="AB366" s="56"/>
      <c r="AC366" s="302"/>
      <c r="AD366" s="302"/>
      <c r="AE366" s="302"/>
      <c r="AF366" s="302"/>
      <c r="AG366" s="302"/>
      <c r="AH366" s="302"/>
      <c r="AI366" s="302"/>
      <c r="AJ366" s="302"/>
      <c r="AK366" s="302"/>
      <c r="AL366" s="302"/>
      <c r="AM366" s="302"/>
      <c r="AN366" s="302"/>
      <c r="AO366" s="302"/>
      <c r="AP366" s="302"/>
      <c r="AX366" s="302"/>
      <c r="AY366" s="302"/>
      <c r="AZ366" s="302"/>
      <c r="BA366" s="302"/>
      <c r="BB366" s="302"/>
      <c r="BC366" s="302"/>
      <c r="BD366" s="302"/>
      <c r="BE366" s="60"/>
    </row>
    <row r="367" spans="1:57" s="301" customFormat="1">
      <c r="A367" s="57"/>
      <c r="B367" s="57"/>
      <c r="C367" s="57"/>
      <c r="D367" s="57"/>
      <c r="E367" s="57"/>
      <c r="F367" s="57"/>
      <c r="G367" s="57"/>
      <c r="H367" s="57"/>
      <c r="I367" s="300"/>
      <c r="J367" s="57"/>
      <c r="K367" s="57"/>
      <c r="L367" s="57"/>
      <c r="M367" s="57"/>
      <c r="N367" s="57"/>
      <c r="O367" s="57"/>
      <c r="P367" s="146"/>
      <c r="Q367" s="146"/>
      <c r="V367" s="302"/>
      <c r="W367" s="302"/>
      <c r="X367" s="302"/>
      <c r="Y367" s="302"/>
      <c r="Z367" s="302"/>
      <c r="AA367" s="302"/>
      <c r="AB367" s="56"/>
      <c r="AC367" s="302"/>
      <c r="AD367" s="302"/>
      <c r="AE367" s="302"/>
      <c r="AF367" s="302"/>
      <c r="AG367" s="302"/>
      <c r="AH367" s="302"/>
      <c r="AI367" s="302"/>
      <c r="AJ367" s="302"/>
      <c r="AK367" s="302"/>
      <c r="AL367" s="302"/>
      <c r="AM367" s="302"/>
      <c r="AN367" s="302"/>
      <c r="AO367" s="302"/>
      <c r="AP367" s="302"/>
      <c r="AX367" s="302"/>
      <c r="AY367" s="302"/>
      <c r="AZ367" s="302"/>
      <c r="BA367" s="302"/>
      <c r="BB367" s="302"/>
      <c r="BC367" s="302"/>
      <c r="BD367" s="302"/>
      <c r="BE367" s="60"/>
    </row>
    <row r="368" spans="1:57" s="301" customFormat="1">
      <c r="A368" s="57"/>
      <c r="B368" s="57"/>
      <c r="C368" s="57"/>
      <c r="D368" s="57"/>
      <c r="E368" s="57"/>
      <c r="F368" s="57"/>
      <c r="G368" s="57"/>
      <c r="H368" s="57"/>
      <c r="I368" s="300"/>
      <c r="J368" s="57"/>
      <c r="K368" s="57"/>
      <c r="L368" s="57"/>
      <c r="M368" s="57"/>
      <c r="N368" s="57"/>
      <c r="O368" s="57"/>
      <c r="P368" s="146"/>
      <c r="Q368" s="146"/>
      <c r="V368" s="302"/>
      <c r="W368" s="302"/>
      <c r="X368" s="302"/>
      <c r="Y368" s="302"/>
      <c r="Z368" s="302"/>
      <c r="AA368" s="302"/>
      <c r="AB368" s="56"/>
      <c r="AC368" s="302"/>
      <c r="AD368" s="302"/>
      <c r="AE368" s="302"/>
      <c r="AF368" s="302"/>
      <c r="AG368" s="302"/>
      <c r="AH368" s="302"/>
      <c r="AI368" s="302"/>
      <c r="AJ368" s="302"/>
      <c r="AK368" s="302"/>
      <c r="AL368" s="302"/>
      <c r="AM368" s="302"/>
      <c r="AN368" s="302"/>
      <c r="AO368" s="302"/>
      <c r="AP368" s="302"/>
      <c r="AX368" s="302"/>
      <c r="AY368" s="302"/>
      <c r="AZ368" s="302"/>
      <c r="BA368" s="302"/>
      <c r="BB368" s="302"/>
      <c r="BC368" s="302"/>
      <c r="BD368" s="302"/>
      <c r="BE368" s="60"/>
    </row>
    <row r="369" spans="1:57" s="301" customFormat="1">
      <c r="A369" s="57"/>
      <c r="B369" s="57"/>
      <c r="C369" s="57"/>
      <c r="D369" s="57"/>
      <c r="E369" s="57"/>
      <c r="F369" s="57"/>
      <c r="G369" s="57"/>
      <c r="H369" s="57"/>
      <c r="I369" s="300"/>
      <c r="J369" s="57"/>
      <c r="K369" s="57"/>
      <c r="L369" s="57"/>
      <c r="M369" s="57"/>
      <c r="N369" s="57"/>
      <c r="O369" s="57"/>
      <c r="P369" s="146"/>
      <c r="Q369" s="146"/>
      <c r="V369" s="302"/>
      <c r="W369" s="302"/>
      <c r="X369" s="302"/>
      <c r="Y369" s="302"/>
      <c r="Z369" s="302"/>
      <c r="AA369" s="302"/>
      <c r="AB369" s="56"/>
      <c r="AC369" s="302"/>
      <c r="AD369" s="302"/>
      <c r="AE369" s="302"/>
      <c r="AF369" s="302"/>
      <c r="AG369" s="302"/>
      <c r="AH369" s="302"/>
      <c r="AI369" s="302"/>
      <c r="AJ369" s="302"/>
      <c r="AK369" s="302"/>
      <c r="AL369" s="302"/>
      <c r="AM369" s="302"/>
      <c r="AN369" s="302"/>
      <c r="AO369" s="302"/>
      <c r="AP369" s="302"/>
      <c r="AX369" s="302"/>
      <c r="AY369" s="302"/>
      <c r="AZ369" s="302"/>
      <c r="BA369" s="302"/>
      <c r="BB369" s="302"/>
      <c r="BC369" s="302"/>
      <c r="BD369" s="302"/>
      <c r="BE369" s="60"/>
    </row>
    <row r="370" spans="1:57" s="301" customFormat="1">
      <c r="A370" s="57"/>
      <c r="B370" s="57"/>
      <c r="C370" s="57"/>
      <c r="D370" s="57"/>
      <c r="E370" s="57"/>
      <c r="F370" s="57"/>
      <c r="G370" s="57"/>
      <c r="H370" s="57"/>
      <c r="I370" s="300"/>
      <c r="J370" s="57"/>
      <c r="K370" s="57"/>
      <c r="L370" s="57"/>
      <c r="M370" s="57"/>
      <c r="N370" s="57"/>
      <c r="O370" s="57"/>
      <c r="P370" s="146"/>
      <c r="Q370" s="146"/>
      <c r="V370" s="302"/>
      <c r="W370" s="302"/>
      <c r="X370" s="302"/>
      <c r="Y370" s="302"/>
      <c r="Z370" s="302"/>
      <c r="AA370" s="302"/>
      <c r="AB370" s="56"/>
      <c r="AC370" s="302"/>
      <c r="AD370" s="302"/>
      <c r="AE370" s="302"/>
      <c r="AF370" s="302"/>
      <c r="AG370" s="302"/>
      <c r="AH370" s="302"/>
      <c r="AI370" s="302"/>
      <c r="AJ370" s="302"/>
      <c r="AK370" s="302"/>
      <c r="AL370" s="302"/>
      <c r="AM370" s="302"/>
      <c r="AN370" s="302"/>
      <c r="AO370" s="302"/>
      <c r="AP370" s="302"/>
      <c r="AX370" s="302"/>
      <c r="AY370" s="302"/>
      <c r="AZ370" s="302"/>
      <c r="BA370" s="302"/>
      <c r="BB370" s="302"/>
      <c r="BC370" s="302"/>
      <c r="BD370" s="302"/>
      <c r="BE370" s="60"/>
    </row>
    <row r="371" spans="1:57" s="301" customFormat="1">
      <c r="A371" s="57"/>
      <c r="B371" s="57"/>
      <c r="C371" s="57"/>
      <c r="D371" s="57"/>
      <c r="E371" s="57"/>
      <c r="F371" s="57"/>
      <c r="G371" s="57"/>
      <c r="H371" s="57"/>
      <c r="I371" s="300"/>
      <c r="J371" s="57"/>
      <c r="K371" s="57"/>
      <c r="L371" s="57"/>
      <c r="M371" s="57"/>
      <c r="N371" s="57"/>
      <c r="O371" s="57"/>
      <c r="P371" s="146"/>
      <c r="Q371" s="146"/>
      <c r="V371" s="302"/>
      <c r="W371" s="302"/>
      <c r="X371" s="302"/>
      <c r="Y371" s="302"/>
      <c r="Z371" s="302"/>
      <c r="AA371" s="302"/>
      <c r="AB371" s="56"/>
      <c r="AC371" s="302"/>
      <c r="AD371" s="302"/>
      <c r="AE371" s="302"/>
      <c r="AF371" s="302"/>
      <c r="AG371" s="302"/>
      <c r="AH371" s="302"/>
      <c r="AI371" s="302"/>
      <c r="AJ371" s="302"/>
      <c r="AK371" s="302"/>
      <c r="AL371" s="302"/>
      <c r="AM371" s="302"/>
      <c r="AN371" s="302"/>
      <c r="AO371" s="302"/>
      <c r="AP371" s="302"/>
      <c r="AX371" s="302"/>
      <c r="AY371" s="302"/>
      <c r="AZ371" s="302"/>
      <c r="BA371" s="302"/>
      <c r="BB371" s="302"/>
      <c r="BC371" s="302"/>
      <c r="BD371" s="302"/>
      <c r="BE371" s="60"/>
    </row>
    <row r="372" spans="1:57" s="301" customFormat="1">
      <c r="A372" s="57"/>
      <c r="B372" s="57"/>
      <c r="C372" s="57"/>
      <c r="D372" s="57"/>
      <c r="E372" s="57"/>
      <c r="F372" s="57"/>
      <c r="G372" s="57"/>
      <c r="H372" s="57"/>
      <c r="I372" s="300"/>
      <c r="J372" s="57"/>
      <c r="K372" s="57"/>
      <c r="L372" s="57"/>
      <c r="M372" s="57"/>
      <c r="N372" s="57"/>
      <c r="O372" s="57"/>
      <c r="P372" s="146"/>
      <c r="Q372" s="146"/>
      <c r="V372" s="302"/>
      <c r="W372" s="302"/>
      <c r="X372" s="302"/>
      <c r="Y372" s="302"/>
      <c r="Z372" s="302"/>
      <c r="AA372" s="302"/>
      <c r="AB372" s="56"/>
      <c r="AC372" s="302"/>
      <c r="AD372" s="302"/>
      <c r="AE372" s="302"/>
      <c r="AF372" s="302"/>
      <c r="AG372" s="302"/>
      <c r="AH372" s="302"/>
      <c r="AI372" s="302"/>
      <c r="AJ372" s="302"/>
      <c r="AK372" s="302"/>
      <c r="AL372" s="302"/>
      <c r="AM372" s="302"/>
      <c r="AN372" s="302"/>
      <c r="AO372" s="302"/>
      <c r="AP372" s="302"/>
      <c r="AX372" s="302"/>
      <c r="AY372" s="302"/>
      <c r="AZ372" s="302"/>
      <c r="BA372" s="302"/>
      <c r="BB372" s="302"/>
      <c r="BC372" s="302"/>
      <c r="BD372" s="302"/>
      <c r="BE372" s="60"/>
    </row>
    <row r="373" spans="1:57" s="301" customFormat="1">
      <c r="A373" s="57"/>
      <c r="B373" s="57"/>
      <c r="C373" s="57"/>
      <c r="D373" s="57"/>
      <c r="E373" s="57"/>
      <c r="F373" s="57"/>
      <c r="G373" s="57"/>
      <c r="H373" s="57"/>
      <c r="I373" s="300"/>
      <c r="J373" s="57"/>
      <c r="K373" s="57"/>
      <c r="L373" s="57"/>
      <c r="M373" s="57"/>
      <c r="N373" s="57"/>
      <c r="O373" s="57"/>
      <c r="P373" s="146"/>
      <c r="Q373" s="146"/>
      <c r="V373" s="302"/>
      <c r="W373" s="302"/>
      <c r="X373" s="302"/>
      <c r="Y373" s="302"/>
      <c r="Z373" s="302"/>
      <c r="AA373" s="302"/>
      <c r="AB373" s="56"/>
      <c r="AC373" s="302"/>
      <c r="AD373" s="302"/>
      <c r="AE373" s="302"/>
      <c r="AF373" s="302"/>
      <c r="AG373" s="302"/>
      <c r="AH373" s="302"/>
      <c r="AI373" s="302"/>
      <c r="AJ373" s="302"/>
      <c r="AK373" s="302"/>
      <c r="AL373" s="302"/>
      <c r="AM373" s="302"/>
      <c r="AN373" s="302"/>
      <c r="AO373" s="302"/>
      <c r="AP373" s="302"/>
      <c r="AX373" s="302"/>
      <c r="AY373" s="302"/>
      <c r="AZ373" s="302"/>
      <c r="BA373" s="302"/>
      <c r="BB373" s="302"/>
      <c r="BC373" s="302"/>
      <c r="BD373" s="302"/>
      <c r="BE373" s="60"/>
    </row>
    <row r="374" spans="1:57" s="301" customFormat="1">
      <c r="A374" s="57"/>
      <c r="B374" s="57"/>
      <c r="C374" s="57"/>
      <c r="D374" s="57"/>
      <c r="E374" s="57"/>
      <c r="F374" s="57"/>
      <c r="G374" s="57"/>
      <c r="H374" s="57"/>
      <c r="I374" s="300"/>
      <c r="J374" s="57"/>
      <c r="K374" s="57"/>
      <c r="L374" s="57"/>
      <c r="M374" s="57"/>
      <c r="N374" s="57"/>
      <c r="O374" s="57"/>
      <c r="P374" s="146"/>
      <c r="Q374" s="146"/>
      <c r="V374" s="302"/>
      <c r="W374" s="302"/>
      <c r="X374" s="302"/>
      <c r="Y374" s="302"/>
      <c r="Z374" s="302"/>
      <c r="AA374" s="302"/>
      <c r="AB374" s="56"/>
      <c r="AC374" s="302"/>
      <c r="AD374" s="302"/>
      <c r="AE374" s="302"/>
      <c r="AF374" s="302"/>
      <c r="AG374" s="302"/>
      <c r="AH374" s="302"/>
      <c r="AI374" s="302"/>
      <c r="AJ374" s="302"/>
      <c r="AK374" s="302"/>
      <c r="AL374" s="302"/>
      <c r="AM374" s="302"/>
      <c r="AN374" s="302"/>
      <c r="AO374" s="302"/>
      <c r="AP374" s="302"/>
      <c r="AX374" s="302"/>
      <c r="AY374" s="302"/>
      <c r="AZ374" s="302"/>
      <c r="BA374" s="302"/>
      <c r="BB374" s="302"/>
      <c r="BC374" s="302"/>
      <c r="BD374" s="302"/>
      <c r="BE374" s="60"/>
    </row>
    <row r="375" spans="1:57" s="301" customFormat="1">
      <c r="A375" s="57"/>
      <c r="B375" s="57"/>
      <c r="C375" s="57"/>
      <c r="D375" s="57"/>
      <c r="E375" s="57"/>
      <c r="F375" s="57"/>
      <c r="G375" s="57"/>
      <c r="H375" s="57"/>
      <c r="I375" s="300"/>
      <c r="J375" s="57"/>
      <c r="K375" s="57"/>
      <c r="L375" s="57"/>
      <c r="M375" s="57"/>
      <c r="N375" s="57"/>
      <c r="O375" s="57"/>
      <c r="P375" s="146"/>
      <c r="Q375" s="146"/>
      <c r="V375" s="302"/>
      <c r="W375" s="302"/>
      <c r="X375" s="302"/>
      <c r="Y375" s="302"/>
      <c r="Z375" s="302"/>
      <c r="AA375" s="302"/>
      <c r="AB375" s="56"/>
      <c r="AC375" s="302"/>
      <c r="AD375" s="302"/>
      <c r="AE375" s="302"/>
      <c r="AF375" s="302"/>
      <c r="AG375" s="302"/>
      <c r="AH375" s="302"/>
      <c r="AI375" s="302"/>
      <c r="AJ375" s="302"/>
      <c r="AK375" s="302"/>
      <c r="AL375" s="302"/>
      <c r="AM375" s="302"/>
      <c r="AN375" s="302"/>
      <c r="AO375" s="302"/>
      <c r="AP375" s="302"/>
      <c r="AX375" s="302"/>
      <c r="AY375" s="302"/>
      <c r="AZ375" s="302"/>
      <c r="BA375" s="302"/>
      <c r="BB375" s="302"/>
      <c r="BC375" s="302"/>
      <c r="BD375" s="302"/>
      <c r="BE375" s="60"/>
    </row>
    <row r="376" spans="1:57" s="301" customFormat="1">
      <c r="A376" s="57"/>
      <c r="B376" s="57"/>
      <c r="C376" s="57"/>
      <c r="D376" s="57"/>
      <c r="E376" s="57"/>
      <c r="F376" s="57"/>
      <c r="G376" s="57"/>
      <c r="H376" s="57"/>
      <c r="I376" s="300"/>
      <c r="J376" s="57"/>
      <c r="K376" s="57"/>
      <c r="L376" s="57"/>
      <c r="M376" s="57"/>
      <c r="N376" s="57"/>
      <c r="O376" s="57"/>
      <c r="P376" s="146"/>
      <c r="Q376" s="146"/>
      <c r="V376" s="302"/>
      <c r="W376" s="302"/>
      <c r="X376" s="302"/>
      <c r="Y376" s="302"/>
      <c r="Z376" s="302"/>
      <c r="AA376" s="302"/>
      <c r="AB376" s="56"/>
      <c r="AC376" s="302"/>
      <c r="AD376" s="302"/>
      <c r="AE376" s="302"/>
      <c r="AF376" s="302"/>
      <c r="AG376" s="302"/>
      <c r="AH376" s="302"/>
      <c r="AI376" s="302"/>
      <c r="AJ376" s="302"/>
      <c r="AK376" s="302"/>
      <c r="AL376" s="302"/>
      <c r="AM376" s="302"/>
      <c r="AN376" s="302"/>
      <c r="AO376" s="302"/>
      <c r="AP376" s="302"/>
      <c r="AX376" s="302"/>
      <c r="AY376" s="302"/>
      <c r="AZ376" s="302"/>
      <c r="BA376" s="302"/>
      <c r="BB376" s="302"/>
      <c r="BC376" s="302"/>
      <c r="BD376" s="302"/>
      <c r="BE376" s="60"/>
    </row>
    <row r="377" spans="1:57" s="301" customFormat="1">
      <c r="A377" s="57"/>
      <c r="B377" s="57"/>
      <c r="C377" s="57"/>
      <c r="D377" s="57"/>
      <c r="E377" s="57"/>
      <c r="F377" s="57"/>
      <c r="G377" s="57"/>
      <c r="H377" s="57"/>
      <c r="I377" s="300"/>
      <c r="J377" s="57"/>
      <c r="K377" s="57"/>
      <c r="L377" s="57"/>
      <c r="M377" s="57"/>
      <c r="N377" s="57"/>
      <c r="O377" s="57"/>
      <c r="P377" s="146"/>
      <c r="Q377" s="146"/>
      <c r="V377" s="302"/>
      <c r="W377" s="302"/>
      <c r="X377" s="302"/>
      <c r="Y377" s="302"/>
      <c r="Z377" s="302"/>
      <c r="AA377" s="302"/>
      <c r="AB377" s="56"/>
      <c r="AC377" s="302"/>
      <c r="AD377" s="302"/>
      <c r="AE377" s="302"/>
      <c r="AF377" s="302"/>
      <c r="AG377" s="302"/>
      <c r="AH377" s="302"/>
      <c r="AI377" s="302"/>
      <c r="AJ377" s="302"/>
      <c r="AK377" s="302"/>
      <c r="AL377" s="302"/>
      <c r="AM377" s="302"/>
      <c r="AN377" s="302"/>
      <c r="AO377" s="302"/>
      <c r="AP377" s="302"/>
      <c r="AX377" s="302"/>
      <c r="AY377" s="302"/>
      <c r="AZ377" s="302"/>
      <c r="BA377" s="302"/>
      <c r="BB377" s="302"/>
      <c r="BC377" s="302"/>
      <c r="BD377" s="302"/>
      <c r="BE377" s="60"/>
    </row>
    <row r="378" spans="1:57" s="301" customFormat="1">
      <c r="A378" s="57"/>
      <c r="B378" s="57"/>
      <c r="C378" s="57"/>
      <c r="D378" s="57"/>
      <c r="E378" s="57"/>
      <c r="F378" s="57"/>
      <c r="G378" s="57"/>
      <c r="H378" s="57"/>
      <c r="I378" s="300"/>
      <c r="J378" s="57"/>
      <c r="K378" s="57"/>
      <c r="L378" s="57"/>
      <c r="M378" s="57"/>
      <c r="N378" s="57"/>
      <c r="O378" s="57"/>
      <c r="P378" s="146"/>
      <c r="Q378" s="146"/>
      <c r="V378" s="302"/>
      <c r="W378" s="302"/>
      <c r="X378" s="302"/>
      <c r="Y378" s="302"/>
      <c r="Z378" s="302"/>
      <c r="AA378" s="302"/>
      <c r="AB378" s="56"/>
      <c r="AC378" s="302"/>
      <c r="AD378" s="302"/>
      <c r="AE378" s="302"/>
      <c r="AF378" s="302"/>
      <c r="AG378" s="302"/>
      <c r="AH378" s="302"/>
      <c r="AI378" s="302"/>
      <c r="AJ378" s="302"/>
      <c r="AK378" s="302"/>
      <c r="AL378" s="302"/>
      <c r="AM378" s="302"/>
      <c r="AN378" s="302"/>
      <c r="AO378" s="302"/>
      <c r="AP378" s="302"/>
      <c r="AX378" s="302"/>
      <c r="AY378" s="302"/>
      <c r="AZ378" s="302"/>
      <c r="BA378" s="302"/>
      <c r="BB378" s="302"/>
      <c r="BC378" s="302"/>
      <c r="BD378" s="302"/>
      <c r="BE378" s="60"/>
    </row>
    <row r="379" spans="1:57" s="301" customFormat="1">
      <c r="A379" s="57"/>
      <c r="B379" s="57"/>
      <c r="C379" s="57"/>
      <c r="D379" s="57"/>
      <c r="E379" s="57"/>
      <c r="F379" s="57"/>
      <c r="G379" s="57"/>
      <c r="H379" s="57"/>
      <c r="I379" s="300"/>
      <c r="J379" s="57"/>
      <c r="K379" s="57"/>
      <c r="L379" s="57"/>
      <c r="M379" s="57"/>
      <c r="N379" s="57"/>
      <c r="O379" s="57"/>
      <c r="P379" s="146"/>
      <c r="Q379" s="146"/>
      <c r="V379" s="302"/>
      <c r="W379" s="302"/>
      <c r="X379" s="302"/>
      <c r="Y379" s="302"/>
      <c r="Z379" s="302"/>
      <c r="AA379" s="302"/>
      <c r="AB379" s="56"/>
      <c r="AC379" s="302"/>
      <c r="AD379" s="302"/>
      <c r="AE379" s="302"/>
      <c r="AF379" s="302"/>
      <c r="AG379" s="302"/>
      <c r="AH379" s="302"/>
      <c r="AI379" s="302"/>
      <c r="AJ379" s="302"/>
      <c r="AK379" s="302"/>
      <c r="AL379" s="302"/>
      <c r="AM379" s="302"/>
      <c r="AN379" s="302"/>
      <c r="AO379" s="302"/>
      <c r="AP379" s="302"/>
      <c r="AX379" s="302"/>
      <c r="AY379" s="302"/>
      <c r="AZ379" s="302"/>
      <c r="BA379" s="302"/>
      <c r="BB379" s="302"/>
      <c r="BC379" s="302"/>
      <c r="BD379" s="302"/>
      <c r="BE379" s="60"/>
    </row>
    <row r="380" spans="1:57" s="301" customFormat="1">
      <c r="A380" s="57"/>
      <c r="B380" s="57"/>
      <c r="C380" s="57"/>
      <c r="D380" s="57"/>
      <c r="E380" s="57"/>
      <c r="F380" s="57"/>
      <c r="G380" s="57"/>
      <c r="H380" s="57"/>
      <c r="I380" s="300"/>
      <c r="J380" s="57"/>
      <c r="K380" s="57"/>
      <c r="L380" s="57"/>
      <c r="M380" s="57"/>
      <c r="N380" s="57"/>
      <c r="O380" s="57"/>
      <c r="P380" s="146"/>
      <c r="Q380" s="146"/>
      <c r="V380" s="302"/>
      <c r="W380" s="302"/>
      <c r="X380" s="302"/>
      <c r="Y380" s="302"/>
      <c r="Z380" s="302"/>
      <c r="AA380" s="302"/>
      <c r="AB380" s="56"/>
      <c r="AC380" s="302"/>
      <c r="AD380" s="302"/>
      <c r="AE380" s="302"/>
      <c r="AF380" s="302"/>
      <c r="AG380" s="302"/>
      <c r="AH380" s="302"/>
      <c r="AI380" s="302"/>
      <c r="AJ380" s="302"/>
      <c r="AK380" s="302"/>
      <c r="AL380" s="302"/>
      <c r="AM380" s="302"/>
      <c r="AN380" s="302"/>
      <c r="AO380" s="302"/>
      <c r="AP380" s="302"/>
      <c r="AX380" s="302"/>
      <c r="AY380" s="302"/>
      <c r="AZ380" s="302"/>
      <c r="BA380" s="302"/>
      <c r="BB380" s="302"/>
      <c r="BC380" s="302"/>
      <c r="BD380" s="302"/>
      <c r="BE380" s="60"/>
    </row>
    <row r="381" spans="1:57" s="301" customFormat="1">
      <c r="A381" s="57"/>
      <c r="B381" s="57"/>
      <c r="C381" s="57"/>
      <c r="D381" s="57"/>
      <c r="E381" s="57"/>
      <c r="F381" s="57"/>
      <c r="G381" s="57"/>
      <c r="H381" s="57"/>
      <c r="I381" s="300"/>
      <c r="J381" s="57"/>
      <c r="K381" s="57"/>
      <c r="L381" s="57"/>
      <c r="M381" s="57"/>
      <c r="N381" s="57"/>
      <c r="O381" s="57"/>
      <c r="P381" s="146"/>
      <c r="Q381" s="146"/>
      <c r="V381" s="302"/>
      <c r="W381" s="302"/>
      <c r="X381" s="302"/>
      <c r="Y381" s="302"/>
      <c r="Z381" s="302"/>
      <c r="AA381" s="302"/>
      <c r="AB381" s="56"/>
      <c r="AC381" s="302"/>
      <c r="AD381" s="302"/>
      <c r="AE381" s="302"/>
      <c r="AF381" s="302"/>
      <c r="AG381" s="302"/>
      <c r="AH381" s="302"/>
      <c r="AI381" s="302"/>
      <c r="AJ381" s="302"/>
      <c r="AK381" s="302"/>
      <c r="AL381" s="302"/>
      <c r="AM381" s="302"/>
      <c r="AN381" s="302"/>
      <c r="AO381" s="302"/>
      <c r="AP381" s="302"/>
      <c r="AX381" s="302"/>
      <c r="AY381" s="302"/>
      <c r="AZ381" s="302"/>
      <c r="BA381" s="302"/>
      <c r="BB381" s="302"/>
      <c r="BC381" s="302"/>
      <c r="BD381" s="302"/>
      <c r="BE381" s="60"/>
    </row>
    <row r="382" spans="1:57" s="301" customFormat="1">
      <c r="A382" s="57"/>
      <c r="B382" s="57"/>
      <c r="C382" s="57"/>
      <c r="D382" s="57"/>
      <c r="E382" s="57"/>
      <c r="F382" s="57"/>
      <c r="G382" s="57"/>
      <c r="H382" s="57"/>
      <c r="I382" s="300"/>
      <c r="J382" s="57"/>
      <c r="K382" s="57"/>
      <c r="L382" s="57"/>
      <c r="M382" s="57"/>
      <c r="N382" s="57"/>
      <c r="O382" s="57"/>
      <c r="P382" s="146"/>
      <c r="Q382" s="146"/>
      <c r="V382" s="302"/>
      <c r="W382" s="302"/>
      <c r="X382" s="302"/>
      <c r="Y382" s="302"/>
      <c r="Z382" s="302"/>
      <c r="AA382" s="302"/>
      <c r="AB382" s="56"/>
      <c r="AC382" s="302"/>
      <c r="AD382" s="302"/>
      <c r="AE382" s="302"/>
      <c r="AF382" s="302"/>
      <c r="AG382" s="302"/>
      <c r="AH382" s="302"/>
      <c r="AI382" s="302"/>
      <c r="AJ382" s="302"/>
      <c r="AK382" s="302"/>
      <c r="AL382" s="302"/>
      <c r="AM382" s="302"/>
      <c r="AN382" s="302"/>
      <c r="AO382" s="302"/>
      <c r="AP382" s="302"/>
      <c r="AX382" s="302"/>
      <c r="AY382" s="302"/>
      <c r="AZ382" s="302"/>
      <c r="BA382" s="302"/>
      <c r="BB382" s="302"/>
      <c r="BC382" s="302"/>
      <c r="BD382" s="302"/>
      <c r="BE382" s="60"/>
    </row>
    <row r="383" spans="1:57" s="301" customFormat="1">
      <c r="A383" s="57"/>
      <c r="B383" s="57"/>
      <c r="C383" s="57"/>
      <c r="D383" s="57"/>
      <c r="E383" s="57"/>
      <c r="F383" s="57"/>
      <c r="G383" s="57"/>
      <c r="H383" s="57"/>
      <c r="I383" s="300"/>
      <c r="J383" s="57"/>
      <c r="K383" s="57"/>
      <c r="L383" s="57"/>
      <c r="M383" s="57"/>
      <c r="N383" s="57"/>
      <c r="O383" s="57"/>
      <c r="P383" s="146"/>
      <c r="Q383" s="146"/>
      <c r="V383" s="302"/>
      <c r="W383" s="302"/>
      <c r="X383" s="302"/>
      <c r="Y383" s="302"/>
      <c r="Z383" s="302"/>
      <c r="AA383" s="302"/>
      <c r="AB383" s="56"/>
      <c r="AC383" s="302"/>
      <c r="AD383" s="302"/>
      <c r="AE383" s="302"/>
      <c r="AF383" s="302"/>
      <c r="AG383" s="302"/>
      <c r="AH383" s="302"/>
      <c r="AI383" s="302"/>
      <c r="AJ383" s="302"/>
      <c r="AK383" s="302"/>
      <c r="AL383" s="302"/>
      <c r="AM383" s="302"/>
      <c r="AN383" s="302"/>
      <c r="AO383" s="302"/>
      <c r="AP383" s="302"/>
      <c r="AX383" s="302"/>
      <c r="AY383" s="302"/>
      <c r="AZ383" s="302"/>
      <c r="BA383" s="302"/>
      <c r="BB383" s="302"/>
      <c r="BC383" s="302"/>
      <c r="BD383" s="302"/>
      <c r="BE383" s="60"/>
    </row>
    <row r="384" spans="1:57" s="301" customFormat="1">
      <c r="A384" s="57"/>
      <c r="B384" s="57"/>
      <c r="C384" s="57"/>
      <c r="D384" s="57"/>
      <c r="E384" s="57"/>
      <c r="F384" s="57"/>
      <c r="G384" s="57"/>
      <c r="H384" s="57"/>
      <c r="I384" s="300"/>
      <c r="J384" s="57"/>
      <c r="K384" s="57"/>
      <c r="L384" s="57"/>
      <c r="M384" s="57"/>
      <c r="N384" s="57"/>
      <c r="O384" s="57"/>
      <c r="P384" s="146"/>
      <c r="Q384" s="146"/>
      <c r="V384" s="302"/>
      <c r="W384" s="302"/>
      <c r="X384" s="302"/>
      <c r="Y384" s="302"/>
      <c r="Z384" s="302"/>
      <c r="AA384" s="302"/>
      <c r="AB384" s="56"/>
      <c r="AC384" s="302"/>
      <c r="AD384" s="302"/>
      <c r="AE384" s="302"/>
      <c r="AF384" s="302"/>
      <c r="AG384" s="302"/>
      <c r="AH384" s="302"/>
      <c r="AI384" s="302"/>
      <c r="AJ384" s="302"/>
      <c r="AK384" s="302"/>
      <c r="AL384" s="302"/>
      <c r="AM384" s="302"/>
      <c r="AN384" s="302"/>
      <c r="AO384" s="302"/>
      <c r="AP384" s="302"/>
      <c r="AX384" s="302"/>
      <c r="AY384" s="302"/>
      <c r="AZ384" s="302"/>
      <c r="BA384" s="302"/>
      <c r="BB384" s="302"/>
      <c r="BC384" s="302"/>
      <c r="BD384" s="302"/>
      <c r="BE384" s="60"/>
    </row>
    <row r="385" spans="1:57" s="301" customFormat="1">
      <c r="A385" s="57"/>
      <c r="B385" s="57"/>
      <c r="C385" s="57"/>
      <c r="D385" s="57"/>
      <c r="E385" s="57"/>
      <c r="F385" s="57"/>
      <c r="G385" s="57"/>
      <c r="H385" s="57"/>
      <c r="I385" s="300"/>
      <c r="J385" s="57"/>
      <c r="K385" s="57"/>
      <c r="L385" s="57"/>
      <c r="M385" s="57"/>
      <c r="N385" s="57"/>
      <c r="O385" s="57"/>
      <c r="P385" s="146"/>
      <c r="Q385" s="146"/>
      <c r="V385" s="302"/>
      <c r="W385" s="302"/>
      <c r="X385" s="302"/>
      <c r="Y385" s="302"/>
      <c r="Z385" s="302"/>
      <c r="AA385" s="302"/>
      <c r="AB385" s="56"/>
      <c r="AC385" s="302"/>
      <c r="AD385" s="302"/>
      <c r="AE385" s="302"/>
      <c r="AF385" s="302"/>
      <c r="AG385" s="302"/>
      <c r="AH385" s="302"/>
      <c r="AI385" s="302"/>
      <c r="AJ385" s="302"/>
      <c r="AK385" s="302"/>
      <c r="AL385" s="302"/>
      <c r="AM385" s="302"/>
      <c r="AN385" s="302"/>
      <c r="AO385" s="302"/>
      <c r="AP385" s="302"/>
      <c r="AX385" s="302"/>
      <c r="AY385" s="302"/>
      <c r="AZ385" s="302"/>
      <c r="BA385" s="302"/>
      <c r="BB385" s="302"/>
      <c r="BC385" s="302"/>
      <c r="BD385" s="302"/>
      <c r="BE385" s="60"/>
    </row>
    <row r="386" spans="1:57" s="301" customFormat="1">
      <c r="A386" s="57"/>
      <c r="B386" s="57"/>
      <c r="C386" s="57"/>
      <c r="D386" s="57"/>
      <c r="E386" s="57"/>
      <c r="F386" s="57"/>
      <c r="G386" s="57"/>
      <c r="H386" s="57"/>
      <c r="I386" s="300"/>
      <c r="J386" s="57"/>
      <c r="K386" s="57"/>
      <c r="L386" s="57"/>
      <c r="M386" s="57"/>
      <c r="N386" s="57"/>
      <c r="O386" s="57"/>
      <c r="P386" s="146"/>
      <c r="Q386" s="146"/>
      <c r="V386" s="302"/>
      <c r="W386" s="302"/>
      <c r="X386" s="302"/>
      <c r="Y386" s="302"/>
      <c r="Z386" s="302"/>
      <c r="AA386" s="302"/>
      <c r="AB386" s="56"/>
      <c r="AC386" s="302"/>
      <c r="AD386" s="302"/>
      <c r="AE386" s="302"/>
      <c r="AF386" s="302"/>
      <c r="AG386" s="302"/>
      <c r="AH386" s="302"/>
      <c r="AI386" s="302"/>
      <c r="AJ386" s="302"/>
      <c r="AK386" s="302"/>
      <c r="AL386" s="302"/>
      <c r="AM386" s="302"/>
      <c r="AN386" s="302"/>
      <c r="AO386" s="302"/>
      <c r="AP386" s="302"/>
      <c r="AX386" s="302"/>
      <c r="AY386" s="302"/>
      <c r="AZ386" s="302"/>
      <c r="BA386" s="302"/>
      <c r="BB386" s="302"/>
      <c r="BC386" s="302"/>
      <c r="BD386" s="302"/>
      <c r="BE386" s="60"/>
    </row>
    <row r="387" spans="1:57" s="301" customFormat="1">
      <c r="A387" s="57"/>
      <c r="B387" s="57"/>
      <c r="C387" s="57"/>
      <c r="D387" s="57"/>
      <c r="E387" s="57"/>
      <c r="F387" s="57"/>
      <c r="G387" s="57"/>
      <c r="H387" s="57"/>
      <c r="I387" s="300"/>
      <c r="J387" s="57"/>
      <c r="K387" s="57"/>
      <c r="L387" s="57"/>
      <c r="M387" s="57"/>
      <c r="N387" s="57"/>
      <c r="O387" s="57"/>
      <c r="P387" s="146"/>
      <c r="Q387" s="146"/>
      <c r="V387" s="302"/>
      <c r="W387" s="302"/>
      <c r="X387" s="302"/>
      <c r="Y387" s="302"/>
      <c r="Z387" s="302"/>
      <c r="AA387" s="302"/>
      <c r="AB387" s="56"/>
      <c r="AC387" s="302"/>
      <c r="AD387" s="302"/>
      <c r="AE387" s="302"/>
      <c r="AF387" s="302"/>
      <c r="AG387" s="302"/>
      <c r="AH387" s="302"/>
      <c r="AI387" s="302"/>
      <c r="AJ387" s="302"/>
      <c r="AK387" s="302"/>
      <c r="AL387" s="302"/>
      <c r="AM387" s="302"/>
      <c r="AN387" s="302"/>
      <c r="AO387" s="302"/>
      <c r="AP387" s="302"/>
      <c r="AX387" s="302"/>
      <c r="AY387" s="302"/>
      <c r="AZ387" s="302"/>
      <c r="BA387" s="302"/>
      <c r="BB387" s="302"/>
      <c r="BC387" s="302"/>
      <c r="BD387" s="302"/>
      <c r="BE387" s="60"/>
    </row>
    <row r="388" spans="1:57" s="301" customFormat="1">
      <c r="A388" s="57"/>
      <c r="B388" s="57"/>
      <c r="C388" s="57"/>
      <c r="D388" s="57"/>
      <c r="E388" s="57"/>
      <c r="F388" s="57"/>
      <c r="G388" s="57"/>
      <c r="H388" s="57"/>
      <c r="I388" s="300"/>
      <c r="J388" s="57"/>
      <c r="K388" s="57"/>
      <c r="L388" s="57"/>
      <c r="M388" s="57"/>
      <c r="N388" s="57"/>
      <c r="O388" s="57"/>
      <c r="P388" s="146"/>
      <c r="Q388" s="146"/>
      <c r="V388" s="302"/>
      <c r="W388" s="302"/>
      <c r="X388" s="302"/>
      <c r="Y388" s="302"/>
      <c r="Z388" s="302"/>
      <c r="AA388" s="302"/>
      <c r="AB388" s="56"/>
      <c r="AC388" s="302"/>
      <c r="AD388" s="302"/>
      <c r="AE388" s="302"/>
      <c r="AF388" s="302"/>
      <c r="AG388" s="302"/>
      <c r="AH388" s="302"/>
      <c r="AI388" s="302"/>
      <c r="AJ388" s="302"/>
      <c r="AK388" s="302"/>
      <c r="AL388" s="302"/>
      <c r="AM388" s="302"/>
      <c r="AN388" s="302"/>
      <c r="AO388" s="302"/>
      <c r="AP388" s="302"/>
      <c r="AX388" s="302"/>
      <c r="AY388" s="302"/>
      <c r="AZ388" s="302"/>
      <c r="BA388" s="302"/>
      <c r="BB388" s="302"/>
      <c r="BC388" s="302"/>
      <c r="BD388" s="302"/>
      <c r="BE388" s="60"/>
    </row>
    <row r="389" spans="1:57" s="301" customFormat="1">
      <c r="A389" s="57"/>
      <c r="B389" s="57"/>
      <c r="C389" s="57"/>
      <c r="D389" s="57"/>
      <c r="E389" s="57"/>
      <c r="F389" s="57"/>
      <c r="G389" s="57"/>
      <c r="H389" s="57"/>
      <c r="I389" s="300"/>
      <c r="J389" s="57"/>
      <c r="K389" s="57"/>
      <c r="L389" s="57"/>
      <c r="M389" s="57"/>
      <c r="N389" s="57"/>
      <c r="O389" s="57"/>
      <c r="P389" s="146"/>
      <c r="Q389" s="146"/>
      <c r="V389" s="302"/>
      <c r="W389" s="302"/>
      <c r="X389" s="302"/>
      <c r="Y389" s="302"/>
      <c r="Z389" s="302"/>
      <c r="AA389" s="302"/>
      <c r="AB389" s="56"/>
      <c r="AC389" s="302"/>
      <c r="AD389" s="302"/>
      <c r="AE389" s="302"/>
      <c r="AF389" s="302"/>
      <c r="AG389" s="302"/>
      <c r="AH389" s="302"/>
      <c r="AI389" s="302"/>
      <c r="AJ389" s="302"/>
      <c r="AK389" s="302"/>
      <c r="AL389" s="302"/>
      <c r="AM389" s="302"/>
      <c r="AN389" s="302"/>
      <c r="AO389" s="302"/>
      <c r="AP389" s="302"/>
      <c r="AX389" s="302"/>
      <c r="AY389" s="302"/>
      <c r="AZ389" s="302"/>
      <c r="BA389" s="302"/>
      <c r="BB389" s="302"/>
      <c r="BC389" s="302"/>
      <c r="BD389" s="302"/>
      <c r="BE389" s="60"/>
    </row>
    <row r="390" spans="1:57" s="301" customFormat="1">
      <c r="A390" s="57"/>
      <c r="B390" s="57"/>
      <c r="C390" s="57"/>
      <c r="D390" s="57"/>
      <c r="E390" s="57"/>
      <c r="F390" s="57"/>
      <c r="G390" s="57"/>
      <c r="H390" s="57"/>
      <c r="I390" s="300"/>
      <c r="J390" s="57"/>
      <c r="K390" s="57"/>
      <c r="L390" s="57"/>
      <c r="M390" s="57"/>
      <c r="N390" s="57"/>
      <c r="O390" s="57"/>
      <c r="P390" s="146"/>
      <c r="Q390" s="146"/>
      <c r="V390" s="302"/>
      <c r="W390" s="302"/>
      <c r="X390" s="302"/>
      <c r="Y390" s="302"/>
      <c r="Z390" s="302"/>
      <c r="AA390" s="302"/>
      <c r="AB390" s="56"/>
      <c r="AC390" s="302"/>
      <c r="AD390" s="302"/>
      <c r="AE390" s="302"/>
      <c r="AF390" s="302"/>
      <c r="AG390" s="302"/>
      <c r="AH390" s="302"/>
      <c r="AI390" s="302"/>
      <c r="AJ390" s="302"/>
      <c r="AK390" s="302"/>
      <c r="AL390" s="302"/>
      <c r="AM390" s="302"/>
      <c r="AN390" s="302"/>
      <c r="AO390" s="302"/>
      <c r="AP390" s="302"/>
      <c r="AX390" s="302"/>
      <c r="AY390" s="302"/>
      <c r="AZ390" s="302"/>
      <c r="BA390" s="302"/>
      <c r="BB390" s="302"/>
      <c r="BC390" s="302"/>
      <c r="BD390" s="302"/>
      <c r="BE390" s="60"/>
    </row>
    <row r="391" spans="1:57" s="301" customFormat="1">
      <c r="A391" s="57"/>
      <c r="B391" s="57"/>
      <c r="C391" s="57"/>
      <c r="D391" s="57"/>
      <c r="E391" s="57"/>
      <c r="F391" s="57"/>
      <c r="G391" s="57"/>
      <c r="H391" s="57"/>
      <c r="I391" s="300"/>
      <c r="J391" s="57"/>
      <c r="K391" s="57"/>
      <c r="L391" s="57"/>
      <c r="M391" s="57"/>
      <c r="N391" s="57"/>
      <c r="O391" s="57"/>
      <c r="P391" s="146"/>
      <c r="Q391" s="146"/>
      <c r="V391" s="302"/>
      <c r="W391" s="302"/>
      <c r="X391" s="302"/>
      <c r="Y391" s="302"/>
      <c r="Z391" s="302"/>
      <c r="AA391" s="302"/>
      <c r="AB391" s="56"/>
      <c r="AC391" s="302"/>
      <c r="AD391" s="302"/>
      <c r="AE391" s="302"/>
      <c r="AF391" s="302"/>
      <c r="AG391" s="302"/>
      <c r="AH391" s="302"/>
      <c r="AI391" s="302"/>
      <c r="AJ391" s="302"/>
      <c r="AK391" s="302"/>
      <c r="AL391" s="302"/>
      <c r="AM391" s="302"/>
      <c r="AN391" s="302"/>
      <c r="AO391" s="302"/>
      <c r="AP391" s="302"/>
      <c r="AX391" s="302"/>
      <c r="AY391" s="302"/>
      <c r="AZ391" s="302"/>
      <c r="BA391" s="302"/>
      <c r="BB391" s="302"/>
      <c r="BC391" s="302"/>
      <c r="BD391" s="302"/>
      <c r="BE391" s="60"/>
    </row>
    <row r="392" spans="1:57" s="301" customFormat="1">
      <c r="A392" s="57"/>
      <c r="B392" s="57"/>
      <c r="C392" s="57"/>
      <c r="D392" s="57"/>
      <c r="E392" s="57"/>
      <c r="F392" s="57"/>
      <c r="G392" s="57"/>
      <c r="H392" s="57"/>
      <c r="I392" s="300"/>
      <c r="J392" s="57"/>
      <c r="K392" s="57"/>
      <c r="L392" s="57"/>
      <c r="M392" s="57"/>
      <c r="N392" s="57"/>
      <c r="O392" s="57"/>
      <c r="P392" s="146"/>
      <c r="Q392" s="146"/>
      <c r="V392" s="302"/>
      <c r="W392" s="302"/>
      <c r="X392" s="302"/>
      <c r="Y392" s="302"/>
      <c r="Z392" s="302"/>
      <c r="AA392" s="302"/>
      <c r="AB392" s="56"/>
      <c r="AC392" s="302"/>
      <c r="AD392" s="302"/>
      <c r="AE392" s="302"/>
      <c r="AF392" s="302"/>
      <c r="AG392" s="302"/>
      <c r="AH392" s="302"/>
      <c r="AI392" s="302"/>
      <c r="AJ392" s="302"/>
      <c r="AK392" s="302"/>
      <c r="AL392" s="302"/>
      <c r="AM392" s="302"/>
      <c r="AN392" s="302"/>
      <c r="AO392" s="302"/>
      <c r="AP392" s="302"/>
      <c r="AX392" s="302"/>
      <c r="AY392" s="302"/>
      <c r="AZ392" s="302"/>
      <c r="BA392" s="302"/>
      <c r="BB392" s="302"/>
      <c r="BC392" s="302"/>
      <c r="BD392" s="302"/>
      <c r="BE392" s="60"/>
    </row>
    <row r="393" spans="1:57" s="301" customFormat="1">
      <c r="A393" s="57"/>
      <c r="B393" s="57"/>
      <c r="C393" s="57"/>
      <c r="D393" s="57"/>
      <c r="E393" s="57"/>
      <c r="F393" s="57"/>
      <c r="G393" s="57"/>
      <c r="H393" s="57"/>
      <c r="I393" s="300"/>
      <c r="J393" s="57"/>
      <c r="K393" s="57"/>
      <c r="L393" s="57"/>
      <c r="M393" s="57"/>
      <c r="N393" s="57"/>
      <c r="O393" s="57"/>
      <c r="P393" s="146"/>
      <c r="Q393" s="146"/>
      <c r="V393" s="302"/>
      <c r="W393" s="302"/>
      <c r="X393" s="302"/>
      <c r="Y393" s="302"/>
      <c r="Z393" s="302"/>
      <c r="AA393" s="302"/>
      <c r="AB393" s="56"/>
      <c r="AC393" s="302"/>
      <c r="AD393" s="302"/>
      <c r="AE393" s="302"/>
      <c r="AF393" s="302"/>
      <c r="AG393" s="302"/>
      <c r="AH393" s="302"/>
      <c r="AI393" s="302"/>
      <c r="AJ393" s="302"/>
      <c r="AK393" s="302"/>
      <c r="AL393" s="302"/>
      <c r="AM393" s="302"/>
      <c r="AN393" s="302"/>
      <c r="AO393" s="302"/>
      <c r="AP393" s="302"/>
      <c r="AX393" s="302"/>
      <c r="AY393" s="302"/>
      <c r="AZ393" s="302"/>
      <c r="BA393" s="302"/>
      <c r="BB393" s="302"/>
      <c r="BC393" s="302"/>
      <c r="BD393" s="302"/>
      <c r="BE393" s="60"/>
    </row>
    <row r="394" spans="1:57" s="301" customFormat="1">
      <c r="A394" s="57"/>
      <c r="B394" s="57"/>
      <c r="C394" s="57"/>
      <c r="D394" s="57"/>
      <c r="E394" s="57"/>
      <c r="F394" s="57"/>
      <c r="G394" s="57"/>
      <c r="H394" s="57"/>
      <c r="I394" s="300"/>
      <c r="J394" s="57"/>
      <c r="K394" s="57"/>
      <c r="L394" s="57"/>
      <c r="M394" s="57"/>
      <c r="N394" s="57"/>
      <c r="O394" s="57"/>
      <c r="P394" s="146"/>
      <c r="Q394" s="146"/>
      <c r="V394" s="302"/>
      <c r="W394" s="302"/>
      <c r="X394" s="302"/>
      <c r="Y394" s="302"/>
      <c r="Z394" s="302"/>
      <c r="AA394" s="302"/>
      <c r="AB394" s="56"/>
      <c r="AC394" s="302"/>
      <c r="AD394" s="302"/>
      <c r="AE394" s="302"/>
      <c r="AF394" s="302"/>
      <c r="AG394" s="302"/>
      <c r="AH394" s="302"/>
      <c r="AI394" s="302"/>
      <c r="AJ394" s="302"/>
      <c r="AK394" s="302"/>
      <c r="AL394" s="302"/>
      <c r="AM394" s="302"/>
      <c r="AN394" s="302"/>
      <c r="AO394" s="302"/>
      <c r="AP394" s="302"/>
      <c r="AX394" s="302"/>
      <c r="AY394" s="302"/>
      <c r="AZ394" s="302"/>
      <c r="BA394" s="302"/>
      <c r="BB394" s="302"/>
      <c r="BC394" s="302"/>
      <c r="BD394" s="302"/>
      <c r="BE394" s="60"/>
    </row>
    <row r="395" spans="1:57" s="301" customFormat="1">
      <c r="A395" s="57"/>
      <c r="B395" s="57"/>
      <c r="C395" s="57"/>
      <c r="D395" s="57"/>
      <c r="E395" s="57"/>
      <c r="F395" s="57"/>
      <c r="G395" s="57"/>
      <c r="H395" s="57"/>
      <c r="I395" s="300"/>
      <c r="J395" s="57"/>
      <c r="K395" s="57"/>
      <c r="L395" s="57"/>
      <c r="M395" s="57"/>
      <c r="N395" s="57"/>
      <c r="O395" s="57"/>
      <c r="P395" s="146"/>
      <c r="Q395" s="146"/>
      <c r="V395" s="302"/>
      <c r="W395" s="302"/>
      <c r="X395" s="302"/>
      <c r="Y395" s="302"/>
      <c r="Z395" s="302"/>
      <c r="AA395" s="302"/>
      <c r="AB395" s="56"/>
      <c r="AC395" s="302"/>
      <c r="AD395" s="302"/>
      <c r="AE395" s="302"/>
      <c r="AF395" s="302"/>
      <c r="AG395" s="302"/>
      <c r="AH395" s="302"/>
      <c r="AI395" s="302"/>
      <c r="AJ395" s="302"/>
      <c r="AK395" s="302"/>
      <c r="AL395" s="302"/>
      <c r="AM395" s="302"/>
      <c r="AN395" s="302"/>
      <c r="AO395" s="302"/>
      <c r="AP395" s="302"/>
      <c r="AX395" s="302"/>
      <c r="AY395" s="302"/>
      <c r="AZ395" s="302"/>
      <c r="BA395" s="302"/>
      <c r="BB395" s="302"/>
      <c r="BC395" s="302"/>
      <c r="BD395" s="302"/>
      <c r="BE395" s="60"/>
    </row>
    <row r="396" spans="1:57" s="301" customFormat="1">
      <c r="A396" s="57"/>
      <c r="B396" s="57"/>
      <c r="C396" s="57"/>
      <c r="D396" s="57"/>
      <c r="E396" s="57"/>
      <c r="F396" s="57"/>
      <c r="G396" s="57"/>
      <c r="H396" s="57"/>
      <c r="I396" s="300"/>
      <c r="J396" s="57"/>
      <c r="K396" s="57"/>
      <c r="L396" s="57"/>
      <c r="M396" s="57"/>
      <c r="N396" s="57"/>
      <c r="O396" s="57"/>
      <c r="P396" s="146"/>
      <c r="Q396" s="146"/>
      <c r="V396" s="302"/>
      <c r="W396" s="302"/>
      <c r="X396" s="302"/>
      <c r="Y396" s="302"/>
      <c r="Z396" s="302"/>
      <c r="AA396" s="302"/>
      <c r="AB396" s="56"/>
      <c r="AC396" s="302"/>
      <c r="AD396" s="302"/>
      <c r="AE396" s="302"/>
      <c r="AF396" s="302"/>
      <c r="AG396" s="302"/>
      <c r="AH396" s="302"/>
      <c r="AI396" s="302"/>
      <c r="AJ396" s="302"/>
      <c r="AK396" s="302"/>
      <c r="AL396" s="302"/>
      <c r="AM396" s="302"/>
      <c r="AN396" s="302"/>
      <c r="AO396" s="302"/>
      <c r="AP396" s="302"/>
      <c r="AX396" s="302"/>
      <c r="AY396" s="302"/>
      <c r="AZ396" s="302"/>
      <c r="BA396" s="302"/>
      <c r="BB396" s="302"/>
      <c r="BC396" s="302"/>
      <c r="BD396" s="302"/>
      <c r="BE396" s="60"/>
    </row>
    <row r="397" spans="1:57" s="301" customFormat="1">
      <c r="A397" s="57"/>
      <c r="B397" s="57"/>
      <c r="C397" s="57"/>
      <c r="D397" s="57"/>
      <c r="E397" s="57"/>
      <c r="F397" s="57"/>
      <c r="G397" s="57"/>
      <c r="H397" s="57"/>
      <c r="I397" s="300"/>
      <c r="J397" s="57"/>
      <c r="K397" s="57"/>
      <c r="L397" s="57"/>
      <c r="M397" s="57"/>
      <c r="N397" s="57"/>
      <c r="O397" s="57"/>
      <c r="P397" s="146"/>
      <c r="Q397" s="146"/>
      <c r="V397" s="302"/>
      <c r="W397" s="302"/>
      <c r="X397" s="302"/>
      <c r="Y397" s="302"/>
      <c r="Z397" s="302"/>
      <c r="AA397" s="302"/>
      <c r="AB397" s="56"/>
      <c r="AC397" s="302"/>
      <c r="AD397" s="302"/>
      <c r="AE397" s="302"/>
      <c r="AF397" s="302"/>
      <c r="AG397" s="302"/>
      <c r="AH397" s="302"/>
      <c r="AI397" s="302"/>
      <c r="AJ397" s="302"/>
      <c r="AK397" s="302"/>
      <c r="AL397" s="302"/>
      <c r="AM397" s="302"/>
      <c r="AN397" s="302"/>
      <c r="AO397" s="302"/>
      <c r="AP397" s="302"/>
      <c r="AX397" s="302"/>
      <c r="AY397" s="302"/>
      <c r="AZ397" s="302"/>
      <c r="BA397" s="302"/>
      <c r="BB397" s="302"/>
      <c r="BC397" s="302"/>
      <c r="BD397" s="302"/>
      <c r="BE397" s="60"/>
    </row>
    <row r="398" spans="1:57" s="301" customFormat="1">
      <c r="A398" s="57"/>
      <c r="B398" s="57"/>
      <c r="C398" s="57"/>
      <c r="D398" s="57"/>
      <c r="E398" s="57"/>
      <c r="F398" s="57"/>
      <c r="G398" s="57"/>
      <c r="H398" s="57"/>
      <c r="I398" s="300"/>
      <c r="J398" s="57"/>
      <c r="K398" s="57"/>
      <c r="L398" s="57"/>
      <c r="M398" s="57"/>
      <c r="N398" s="57"/>
      <c r="O398" s="57"/>
      <c r="P398" s="146"/>
      <c r="Q398" s="146"/>
      <c r="V398" s="302"/>
      <c r="W398" s="302"/>
      <c r="X398" s="302"/>
      <c r="Y398" s="302"/>
      <c r="Z398" s="302"/>
      <c r="AA398" s="302"/>
      <c r="AB398" s="56"/>
      <c r="AC398" s="302"/>
      <c r="AD398" s="302"/>
      <c r="AE398" s="302"/>
      <c r="AF398" s="302"/>
      <c r="AG398" s="302"/>
      <c r="AH398" s="302"/>
      <c r="AI398" s="302"/>
      <c r="AJ398" s="302"/>
      <c r="AK398" s="302"/>
      <c r="AL398" s="302"/>
      <c r="AM398" s="302"/>
      <c r="AN398" s="302"/>
      <c r="AO398" s="302"/>
      <c r="AP398" s="302"/>
      <c r="AX398" s="302"/>
      <c r="AY398" s="302"/>
      <c r="AZ398" s="302"/>
      <c r="BA398" s="302"/>
      <c r="BB398" s="302"/>
      <c r="BC398" s="302"/>
      <c r="BD398" s="302"/>
      <c r="BE398" s="60"/>
    </row>
    <row r="399" spans="1:57" s="301" customFormat="1">
      <c r="A399" s="57"/>
      <c r="B399" s="57"/>
      <c r="C399" s="57"/>
      <c r="D399" s="57"/>
      <c r="E399" s="57"/>
      <c r="F399" s="57"/>
      <c r="G399" s="57"/>
      <c r="H399" s="57"/>
      <c r="I399" s="300"/>
      <c r="J399" s="57"/>
      <c r="K399" s="57"/>
      <c r="L399" s="57"/>
      <c r="M399" s="57"/>
      <c r="N399" s="57"/>
      <c r="O399" s="57"/>
      <c r="P399" s="146"/>
      <c r="Q399" s="146"/>
      <c r="V399" s="302"/>
      <c r="W399" s="302"/>
      <c r="X399" s="302"/>
      <c r="Y399" s="302"/>
      <c r="Z399" s="302"/>
      <c r="AA399" s="302"/>
      <c r="AB399" s="56"/>
      <c r="AC399" s="302"/>
      <c r="AD399" s="302"/>
      <c r="AE399" s="302"/>
      <c r="AF399" s="302"/>
      <c r="AG399" s="302"/>
      <c r="AH399" s="302"/>
      <c r="AI399" s="302"/>
      <c r="AJ399" s="302"/>
      <c r="AK399" s="302"/>
      <c r="AL399" s="302"/>
      <c r="AM399" s="302"/>
      <c r="AN399" s="302"/>
      <c r="AO399" s="302"/>
      <c r="AP399" s="302"/>
      <c r="AX399" s="302"/>
      <c r="AY399" s="302"/>
      <c r="AZ399" s="302"/>
      <c r="BA399" s="302"/>
      <c r="BB399" s="302"/>
      <c r="BC399" s="302"/>
      <c r="BD399" s="302"/>
      <c r="BE399" s="60"/>
    </row>
    <row r="400" spans="1:57" s="301" customFormat="1">
      <c r="A400" s="57"/>
      <c r="B400" s="57"/>
      <c r="C400" s="57"/>
      <c r="D400" s="57"/>
      <c r="E400" s="57"/>
      <c r="F400" s="57"/>
      <c r="G400" s="57"/>
      <c r="H400" s="57"/>
      <c r="I400" s="300"/>
      <c r="J400" s="57"/>
      <c r="K400" s="57"/>
      <c r="L400" s="57"/>
      <c r="M400" s="57"/>
      <c r="N400" s="57"/>
      <c r="O400" s="57"/>
      <c r="P400" s="146"/>
      <c r="Q400" s="146"/>
      <c r="V400" s="302"/>
      <c r="W400" s="302"/>
      <c r="X400" s="302"/>
      <c r="Y400" s="302"/>
      <c r="Z400" s="302"/>
      <c r="AA400" s="302"/>
      <c r="AB400" s="56"/>
      <c r="AC400" s="302"/>
      <c r="AD400" s="302"/>
      <c r="AE400" s="302"/>
      <c r="AF400" s="302"/>
      <c r="AG400" s="302"/>
      <c r="AH400" s="302"/>
      <c r="AI400" s="302"/>
      <c r="AJ400" s="302"/>
      <c r="AK400" s="302"/>
      <c r="AL400" s="302"/>
      <c r="AM400" s="302"/>
      <c r="AN400" s="302"/>
      <c r="AO400" s="302"/>
      <c r="AP400" s="302"/>
      <c r="AX400" s="302"/>
      <c r="AY400" s="302"/>
      <c r="AZ400" s="302"/>
      <c r="BA400" s="302"/>
      <c r="BB400" s="302"/>
      <c r="BC400" s="302"/>
      <c r="BD400" s="302"/>
      <c r="BE400" s="60"/>
    </row>
    <row r="401" spans="1:57" s="301" customFormat="1">
      <c r="A401" s="57"/>
      <c r="B401" s="57"/>
      <c r="C401" s="57"/>
      <c r="D401" s="57"/>
      <c r="E401" s="57"/>
      <c r="F401" s="57"/>
      <c r="G401" s="57"/>
      <c r="H401" s="57"/>
      <c r="I401" s="300"/>
      <c r="J401" s="57"/>
      <c r="K401" s="57"/>
      <c r="L401" s="57"/>
      <c r="M401" s="57"/>
      <c r="N401" s="57"/>
      <c r="O401" s="57"/>
      <c r="P401" s="146"/>
      <c r="Q401" s="146"/>
      <c r="V401" s="302"/>
      <c r="W401" s="302"/>
      <c r="X401" s="302"/>
      <c r="Y401" s="302"/>
      <c r="Z401" s="302"/>
      <c r="AA401" s="302"/>
      <c r="AB401" s="56"/>
      <c r="AC401" s="302"/>
      <c r="AD401" s="302"/>
      <c r="AE401" s="302"/>
      <c r="AF401" s="302"/>
      <c r="AG401" s="302"/>
      <c r="AH401" s="302"/>
      <c r="AI401" s="302"/>
      <c r="AJ401" s="302"/>
      <c r="AK401" s="302"/>
      <c r="AL401" s="302"/>
      <c r="AM401" s="302"/>
      <c r="AN401" s="302"/>
      <c r="AO401" s="302"/>
      <c r="AP401" s="302"/>
      <c r="AX401" s="302"/>
      <c r="AY401" s="302"/>
      <c r="AZ401" s="302"/>
      <c r="BA401" s="302"/>
      <c r="BB401" s="302"/>
      <c r="BC401" s="302"/>
      <c r="BD401" s="302"/>
      <c r="BE401" s="60"/>
    </row>
    <row r="402" spans="1:57" s="301" customFormat="1">
      <c r="A402" s="57"/>
      <c r="B402" s="57"/>
      <c r="C402" s="57"/>
      <c r="D402" s="57"/>
      <c r="E402" s="57"/>
      <c r="F402" s="57"/>
      <c r="G402" s="57"/>
      <c r="H402" s="57"/>
      <c r="I402" s="300"/>
      <c r="J402" s="57"/>
      <c r="K402" s="57"/>
      <c r="L402" s="57"/>
      <c r="M402" s="57"/>
      <c r="N402" s="57"/>
      <c r="O402" s="57"/>
      <c r="P402" s="146"/>
      <c r="Q402" s="146"/>
      <c r="V402" s="302"/>
      <c r="W402" s="302"/>
      <c r="X402" s="302"/>
      <c r="Y402" s="302"/>
      <c r="Z402" s="302"/>
      <c r="AA402" s="302"/>
      <c r="AB402" s="56"/>
      <c r="AC402" s="302"/>
      <c r="AD402" s="302"/>
      <c r="AE402" s="302"/>
      <c r="AF402" s="302"/>
      <c r="AG402" s="302"/>
      <c r="AH402" s="302"/>
      <c r="AI402" s="302"/>
      <c r="AJ402" s="302"/>
      <c r="AK402" s="302"/>
      <c r="AL402" s="302"/>
      <c r="AM402" s="302"/>
      <c r="AN402" s="302"/>
      <c r="AO402" s="302"/>
      <c r="AP402" s="302"/>
      <c r="AX402" s="302"/>
      <c r="AY402" s="302"/>
      <c r="AZ402" s="302"/>
      <c r="BA402" s="302"/>
      <c r="BB402" s="302"/>
      <c r="BC402" s="302"/>
      <c r="BD402" s="302"/>
      <c r="BE402" s="60"/>
    </row>
    <row r="403" spans="1:57" s="301" customFormat="1">
      <c r="A403" s="57"/>
      <c r="B403" s="57"/>
      <c r="C403" s="57"/>
      <c r="D403" s="57"/>
      <c r="E403" s="57"/>
      <c r="F403" s="57"/>
      <c r="G403" s="57"/>
      <c r="H403" s="57"/>
      <c r="I403" s="300"/>
      <c r="J403" s="57"/>
      <c r="K403" s="57"/>
      <c r="L403" s="57"/>
      <c r="M403" s="57"/>
      <c r="N403" s="57"/>
      <c r="O403" s="57"/>
      <c r="P403" s="146"/>
      <c r="Q403" s="146"/>
      <c r="V403" s="302"/>
      <c r="W403" s="302"/>
      <c r="X403" s="302"/>
      <c r="Y403" s="302"/>
      <c r="Z403" s="302"/>
      <c r="AA403" s="302"/>
      <c r="AB403" s="56"/>
      <c r="AC403" s="302"/>
      <c r="AD403" s="302"/>
      <c r="AE403" s="302"/>
      <c r="AF403" s="302"/>
      <c r="AG403" s="302"/>
      <c r="AH403" s="302"/>
      <c r="AI403" s="302"/>
      <c r="AJ403" s="302"/>
      <c r="AK403" s="302"/>
      <c r="AL403" s="302"/>
      <c r="AM403" s="302"/>
      <c r="AN403" s="302"/>
      <c r="AO403" s="302"/>
      <c r="AP403" s="302"/>
      <c r="AX403" s="302"/>
      <c r="AY403" s="302"/>
      <c r="AZ403" s="302"/>
      <c r="BA403" s="302"/>
      <c r="BB403" s="302"/>
      <c r="BC403" s="302"/>
      <c r="BD403" s="302"/>
      <c r="BE403" s="60"/>
    </row>
    <row r="404" spans="1:57" s="301" customFormat="1">
      <c r="A404" s="57"/>
      <c r="B404" s="57"/>
      <c r="C404" s="57"/>
      <c r="D404" s="57"/>
      <c r="E404" s="57"/>
      <c r="F404" s="57"/>
      <c r="G404" s="57"/>
      <c r="H404" s="57"/>
      <c r="I404" s="300"/>
      <c r="J404" s="57"/>
      <c r="K404" s="57"/>
      <c r="L404" s="57"/>
      <c r="M404" s="57"/>
      <c r="N404" s="57"/>
      <c r="O404" s="57"/>
      <c r="P404" s="146"/>
      <c r="Q404" s="146"/>
      <c r="V404" s="302"/>
      <c r="W404" s="302"/>
      <c r="X404" s="302"/>
      <c r="Y404" s="302"/>
      <c r="Z404" s="302"/>
      <c r="AA404" s="302"/>
      <c r="AB404" s="56"/>
      <c r="AC404" s="302"/>
      <c r="AD404" s="302"/>
      <c r="AE404" s="302"/>
      <c r="AF404" s="302"/>
      <c r="AG404" s="302"/>
      <c r="AH404" s="302"/>
      <c r="AI404" s="302"/>
      <c r="AJ404" s="302"/>
      <c r="AK404" s="302"/>
      <c r="AL404" s="302"/>
      <c r="AM404" s="302"/>
      <c r="AN404" s="302"/>
      <c r="AO404" s="302"/>
      <c r="AP404" s="302"/>
      <c r="AX404" s="302"/>
      <c r="AY404" s="302"/>
      <c r="AZ404" s="302"/>
      <c r="BA404" s="302"/>
      <c r="BB404" s="302"/>
      <c r="BC404" s="302"/>
      <c r="BD404" s="302"/>
      <c r="BE404" s="60"/>
    </row>
    <row r="405" spans="1:57" s="301" customFormat="1">
      <c r="A405" s="57"/>
      <c r="B405" s="57"/>
      <c r="C405" s="57"/>
      <c r="D405" s="57"/>
      <c r="E405" s="57"/>
      <c r="F405" s="57"/>
      <c r="G405" s="57"/>
      <c r="H405" s="57"/>
      <c r="I405" s="300"/>
      <c r="J405" s="57"/>
      <c r="K405" s="57"/>
      <c r="L405" s="57"/>
      <c r="M405" s="57"/>
      <c r="N405" s="57"/>
      <c r="O405" s="57"/>
      <c r="P405" s="146"/>
      <c r="Q405" s="146"/>
      <c r="V405" s="302"/>
      <c r="W405" s="302"/>
      <c r="X405" s="302"/>
      <c r="Y405" s="302"/>
      <c r="Z405" s="302"/>
      <c r="AA405" s="302"/>
      <c r="AB405" s="56"/>
      <c r="AC405" s="302"/>
      <c r="AD405" s="302"/>
      <c r="AE405" s="302"/>
      <c r="AF405" s="302"/>
      <c r="AG405" s="302"/>
      <c r="AH405" s="302"/>
      <c r="AI405" s="302"/>
      <c r="AJ405" s="302"/>
      <c r="AK405" s="302"/>
      <c r="AL405" s="302"/>
      <c r="AM405" s="302"/>
      <c r="AN405" s="302"/>
      <c r="AO405" s="302"/>
      <c r="AP405" s="302"/>
      <c r="AX405" s="302"/>
      <c r="AY405" s="302"/>
      <c r="AZ405" s="302"/>
      <c r="BA405" s="302"/>
      <c r="BB405" s="302"/>
      <c r="BC405" s="302"/>
      <c r="BD405" s="302"/>
      <c r="BE405" s="60"/>
    </row>
    <row r="406" spans="1:57" s="301" customFormat="1">
      <c r="A406" s="57"/>
      <c r="B406" s="57"/>
      <c r="C406" s="57"/>
      <c r="D406" s="57"/>
      <c r="E406" s="57"/>
      <c r="F406" s="57"/>
      <c r="G406" s="57"/>
      <c r="H406" s="57"/>
      <c r="I406" s="300"/>
      <c r="J406" s="57"/>
      <c r="K406" s="57"/>
      <c r="L406" s="57"/>
      <c r="M406" s="57"/>
      <c r="N406" s="57"/>
      <c r="O406" s="57"/>
      <c r="P406" s="146"/>
      <c r="Q406" s="146"/>
      <c r="V406" s="302"/>
      <c r="W406" s="302"/>
      <c r="X406" s="302"/>
      <c r="Y406" s="302"/>
      <c r="Z406" s="302"/>
      <c r="AA406" s="302"/>
      <c r="AB406" s="56"/>
      <c r="AC406" s="302"/>
      <c r="AD406" s="302"/>
      <c r="AE406" s="302"/>
      <c r="AF406" s="302"/>
      <c r="AG406" s="302"/>
      <c r="AH406" s="302"/>
      <c r="AI406" s="302"/>
      <c r="AJ406" s="302"/>
      <c r="AK406" s="302"/>
      <c r="AL406" s="302"/>
      <c r="AM406" s="302"/>
      <c r="AN406" s="302"/>
      <c r="AO406" s="302"/>
      <c r="AP406" s="302"/>
      <c r="AX406" s="302"/>
      <c r="AY406" s="302"/>
      <c r="AZ406" s="302"/>
      <c r="BA406" s="302"/>
      <c r="BB406" s="302"/>
      <c r="BC406" s="302"/>
      <c r="BD406" s="302"/>
      <c r="BE406" s="60"/>
    </row>
    <row r="407" spans="1:57" s="301" customFormat="1">
      <c r="A407" s="57"/>
      <c r="B407" s="57"/>
      <c r="C407" s="57"/>
      <c r="D407" s="57"/>
      <c r="E407" s="57"/>
      <c r="F407" s="57"/>
      <c r="G407" s="57"/>
      <c r="H407" s="57"/>
      <c r="I407" s="300"/>
      <c r="J407" s="57"/>
      <c r="K407" s="57"/>
      <c r="L407" s="57"/>
      <c r="M407" s="57"/>
      <c r="N407" s="57"/>
      <c r="O407" s="57"/>
      <c r="P407" s="146"/>
      <c r="Q407" s="146"/>
      <c r="V407" s="302"/>
      <c r="W407" s="302"/>
      <c r="X407" s="302"/>
      <c r="Y407" s="302"/>
      <c r="Z407" s="302"/>
      <c r="AA407" s="302"/>
      <c r="AB407" s="56"/>
      <c r="AC407" s="302"/>
      <c r="AD407" s="302"/>
      <c r="AE407" s="302"/>
      <c r="AF407" s="302"/>
      <c r="AG407" s="302"/>
      <c r="AH407" s="302"/>
      <c r="AI407" s="302"/>
      <c r="AJ407" s="302"/>
      <c r="AK407" s="302"/>
      <c r="AL407" s="302"/>
      <c r="AM407" s="302"/>
      <c r="AN407" s="302"/>
      <c r="AO407" s="302"/>
      <c r="AP407" s="302"/>
      <c r="AX407" s="302"/>
      <c r="AY407" s="302"/>
      <c r="AZ407" s="302"/>
      <c r="BA407" s="302"/>
      <c r="BB407" s="302"/>
      <c r="BC407" s="302"/>
      <c r="BD407" s="302"/>
      <c r="BE407" s="60"/>
    </row>
    <row r="408" spans="1:57" s="301" customFormat="1">
      <c r="A408" s="57"/>
      <c r="B408" s="57"/>
      <c r="C408" s="57"/>
      <c r="D408" s="57"/>
      <c r="E408" s="57"/>
      <c r="F408" s="57"/>
      <c r="G408" s="57"/>
      <c r="H408" s="57"/>
      <c r="I408" s="300"/>
      <c r="J408" s="57"/>
      <c r="K408" s="57"/>
      <c r="L408" s="57"/>
      <c r="M408" s="57"/>
      <c r="N408" s="57"/>
      <c r="O408" s="57"/>
      <c r="P408" s="146"/>
      <c r="Q408" s="146"/>
      <c r="V408" s="302"/>
      <c r="W408" s="302"/>
      <c r="X408" s="302"/>
      <c r="Y408" s="302"/>
      <c r="Z408" s="302"/>
      <c r="AA408" s="302"/>
      <c r="AB408" s="56"/>
      <c r="AC408" s="302"/>
      <c r="AD408" s="302"/>
      <c r="AE408" s="302"/>
      <c r="AF408" s="302"/>
      <c r="AG408" s="302"/>
      <c r="AH408" s="302"/>
      <c r="AI408" s="302"/>
      <c r="AJ408" s="302"/>
      <c r="AK408" s="302"/>
      <c r="AL408" s="302"/>
      <c r="AM408" s="302"/>
      <c r="AN408" s="302"/>
      <c r="AO408" s="302"/>
      <c r="AP408" s="302"/>
      <c r="AX408" s="302"/>
      <c r="AY408" s="302"/>
      <c r="AZ408" s="302"/>
      <c r="BA408" s="302"/>
      <c r="BB408" s="302"/>
      <c r="BC408" s="302"/>
      <c r="BD408" s="302"/>
      <c r="BE408" s="60"/>
    </row>
    <row r="409" spans="1:57" s="301" customFormat="1">
      <c r="A409" s="57"/>
      <c r="B409" s="57"/>
      <c r="C409" s="57"/>
      <c r="D409" s="57"/>
      <c r="E409" s="57"/>
      <c r="F409" s="57"/>
      <c r="G409" s="57"/>
      <c r="H409" s="57"/>
      <c r="I409" s="300"/>
      <c r="J409" s="57"/>
      <c r="K409" s="57"/>
      <c r="L409" s="57"/>
      <c r="M409" s="57"/>
      <c r="N409" s="57"/>
      <c r="O409" s="57"/>
      <c r="P409" s="146"/>
      <c r="Q409" s="146"/>
      <c r="V409" s="302"/>
      <c r="W409" s="302"/>
      <c r="X409" s="302"/>
      <c r="Y409" s="302"/>
      <c r="Z409" s="302"/>
      <c r="AA409" s="302"/>
      <c r="AB409" s="56"/>
      <c r="AC409" s="302"/>
      <c r="AD409" s="302"/>
      <c r="AE409" s="302"/>
      <c r="AF409" s="302"/>
      <c r="AG409" s="302"/>
      <c r="AH409" s="302"/>
      <c r="AI409" s="302"/>
      <c r="AJ409" s="302"/>
      <c r="AK409" s="302"/>
      <c r="AL409" s="302"/>
      <c r="AM409" s="302"/>
      <c r="AN409" s="302"/>
      <c r="AO409" s="302"/>
      <c r="AP409" s="302"/>
      <c r="AX409" s="302"/>
      <c r="AY409" s="302"/>
      <c r="AZ409" s="302"/>
      <c r="BA409" s="302"/>
      <c r="BB409" s="302"/>
      <c r="BC409" s="302"/>
      <c r="BD409" s="302"/>
      <c r="BE409" s="60"/>
    </row>
    <row r="410" spans="1:57" s="301" customFormat="1">
      <c r="A410" s="57"/>
      <c r="B410" s="57"/>
      <c r="C410" s="57"/>
      <c r="D410" s="57"/>
      <c r="E410" s="57"/>
      <c r="F410" s="57"/>
      <c r="G410" s="57"/>
      <c r="H410" s="57"/>
      <c r="I410" s="300"/>
      <c r="J410" s="57"/>
      <c r="K410" s="57"/>
      <c r="L410" s="57"/>
      <c r="M410" s="57"/>
      <c r="N410" s="57"/>
      <c r="O410" s="57"/>
      <c r="P410" s="146"/>
      <c r="Q410" s="146"/>
      <c r="V410" s="302"/>
      <c r="W410" s="302"/>
      <c r="X410" s="302"/>
      <c r="Y410" s="302"/>
      <c r="Z410" s="302"/>
      <c r="AA410" s="302"/>
      <c r="AB410" s="56"/>
      <c r="AC410" s="302"/>
      <c r="AD410" s="302"/>
      <c r="AE410" s="302"/>
      <c r="AF410" s="302"/>
      <c r="AG410" s="302"/>
      <c r="AH410" s="302"/>
      <c r="AI410" s="302"/>
      <c r="AJ410" s="302"/>
      <c r="AK410" s="302"/>
      <c r="AL410" s="302"/>
      <c r="AM410" s="302"/>
      <c r="AN410" s="302"/>
      <c r="AO410" s="302"/>
      <c r="AP410" s="302"/>
      <c r="AX410" s="302"/>
      <c r="AY410" s="302"/>
      <c r="AZ410" s="302"/>
      <c r="BA410" s="302"/>
      <c r="BB410" s="302"/>
      <c r="BC410" s="302"/>
      <c r="BD410" s="302"/>
      <c r="BE410" s="60"/>
    </row>
    <row r="411" spans="1:57" s="301" customFormat="1">
      <c r="A411" s="57"/>
      <c r="B411" s="57"/>
      <c r="C411" s="57"/>
      <c r="D411" s="57"/>
      <c r="E411" s="57"/>
      <c r="F411" s="57"/>
      <c r="G411" s="57"/>
      <c r="H411" s="57"/>
      <c r="I411" s="300"/>
      <c r="J411" s="57"/>
      <c r="K411" s="57"/>
      <c r="L411" s="57"/>
      <c r="M411" s="57"/>
      <c r="N411" s="57"/>
      <c r="O411" s="57"/>
      <c r="P411" s="146"/>
      <c r="Q411" s="146"/>
      <c r="V411" s="302"/>
      <c r="W411" s="302"/>
      <c r="X411" s="302"/>
      <c r="Y411" s="302"/>
      <c r="Z411" s="302"/>
      <c r="AA411" s="302"/>
      <c r="AB411" s="56"/>
      <c r="AC411" s="302"/>
      <c r="AD411" s="302"/>
      <c r="AE411" s="302"/>
      <c r="AF411" s="302"/>
      <c r="AG411" s="302"/>
      <c r="AH411" s="302"/>
      <c r="AI411" s="302"/>
      <c r="AJ411" s="302"/>
      <c r="AK411" s="302"/>
      <c r="AL411" s="302"/>
      <c r="AM411" s="302"/>
      <c r="AN411" s="302"/>
      <c r="AO411" s="302"/>
      <c r="AP411" s="302"/>
      <c r="AX411" s="302"/>
      <c r="AY411" s="302"/>
      <c r="AZ411" s="302"/>
      <c r="BA411" s="302"/>
      <c r="BB411" s="302"/>
      <c r="BC411" s="302"/>
      <c r="BD411" s="302"/>
      <c r="BE411" s="60"/>
    </row>
    <row r="412" spans="1:57" s="301" customFormat="1">
      <c r="A412" s="57"/>
      <c r="B412" s="57"/>
      <c r="C412" s="57"/>
      <c r="D412" s="57"/>
      <c r="E412" s="57"/>
      <c r="F412" s="57"/>
      <c r="G412" s="57"/>
      <c r="H412" s="57"/>
      <c r="I412" s="300"/>
      <c r="J412" s="57"/>
      <c r="K412" s="57"/>
      <c r="L412" s="57"/>
      <c r="M412" s="57"/>
      <c r="N412" s="57"/>
      <c r="O412" s="57"/>
      <c r="P412" s="146"/>
      <c r="Q412" s="146"/>
      <c r="V412" s="302"/>
      <c r="W412" s="302"/>
      <c r="X412" s="302"/>
      <c r="Y412" s="302"/>
      <c r="Z412" s="302"/>
      <c r="AA412" s="302"/>
      <c r="AB412" s="56"/>
      <c r="AC412" s="302"/>
      <c r="AD412" s="302"/>
      <c r="AE412" s="302"/>
      <c r="AF412" s="302"/>
      <c r="AG412" s="302"/>
      <c r="AH412" s="302"/>
      <c r="AI412" s="302"/>
      <c r="AJ412" s="302"/>
      <c r="AK412" s="302"/>
      <c r="AL412" s="302"/>
      <c r="AM412" s="302"/>
      <c r="AN412" s="302"/>
      <c r="AO412" s="302"/>
      <c r="AP412" s="302"/>
      <c r="AX412" s="302"/>
      <c r="AY412" s="302"/>
      <c r="AZ412" s="302"/>
      <c r="BA412" s="302"/>
      <c r="BB412" s="302"/>
      <c r="BC412" s="302"/>
      <c r="BD412" s="302"/>
      <c r="BE412" s="60"/>
    </row>
    <row r="413" spans="1:57" s="301" customFormat="1">
      <c r="A413" s="57"/>
      <c r="B413" s="57"/>
      <c r="C413" s="57"/>
      <c r="D413" s="57"/>
      <c r="E413" s="57"/>
      <c r="F413" s="57"/>
      <c r="G413" s="57"/>
      <c r="H413" s="57"/>
      <c r="I413" s="300"/>
      <c r="J413" s="57"/>
      <c r="K413" s="57"/>
      <c r="L413" s="57"/>
      <c r="M413" s="57"/>
      <c r="N413" s="57"/>
      <c r="O413" s="57"/>
      <c r="P413" s="146"/>
      <c r="Q413" s="146"/>
      <c r="V413" s="302"/>
      <c r="W413" s="302"/>
      <c r="X413" s="302"/>
      <c r="Y413" s="302"/>
      <c r="Z413" s="302"/>
      <c r="AA413" s="302"/>
      <c r="AB413" s="56"/>
      <c r="AC413" s="302"/>
      <c r="AD413" s="302"/>
      <c r="AE413" s="302"/>
      <c r="AF413" s="302"/>
      <c r="AG413" s="302"/>
      <c r="AH413" s="302"/>
      <c r="AI413" s="302"/>
      <c r="AJ413" s="302"/>
      <c r="AK413" s="302"/>
      <c r="AL413" s="302"/>
      <c r="AM413" s="302"/>
      <c r="AN413" s="302"/>
      <c r="AO413" s="302"/>
      <c r="AP413" s="302"/>
      <c r="AX413" s="302"/>
      <c r="AY413" s="302"/>
      <c r="AZ413" s="302"/>
      <c r="BA413" s="302"/>
      <c r="BB413" s="302"/>
      <c r="BC413" s="302"/>
      <c r="BD413" s="302"/>
      <c r="BE413" s="60"/>
    </row>
    <row r="414" spans="1:57" s="301" customFormat="1">
      <c r="A414" s="57"/>
      <c r="B414" s="57"/>
      <c r="C414" s="57"/>
      <c r="D414" s="57"/>
      <c r="E414" s="57"/>
      <c r="F414" s="57"/>
      <c r="G414" s="57"/>
      <c r="H414" s="57"/>
      <c r="I414" s="300"/>
      <c r="J414" s="57"/>
      <c r="K414" s="57"/>
      <c r="L414" s="57"/>
      <c r="M414" s="57"/>
      <c r="N414" s="57"/>
      <c r="O414" s="57"/>
      <c r="P414" s="146"/>
      <c r="Q414" s="146"/>
      <c r="V414" s="302"/>
      <c r="W414" s="302"/>
      <c r="X414" s="302"/>
      <c r="Y414" s="302"/>
      <c r="Z414" s="302"/>
      <c r="AA414" s="302"/>
      <c r="AB414" s="56"/>
      <c r="AC414" s="302"/>
      <c r="AD414" s="302"/>
      <c r="AE414" s="302"/>
      <c r="AF414" s="302"/>
      <c r="AG414" s="302"/>
      <c r="AH414" s="302"/>
      <c r="AI414" s="302"/>
      <c r="AJ414" s="302"/>
      <c r="AK414" s="302"/>
      <c r="AL414" s="302"/>
      <c r="AM414" s="302"/>
      <c r="AN414" s="302"/>
      <c r="AO414" s="302"/>
      <c r="AP414" s="302"/>
      <c r="AX414" s="302"/>
      <c r="AY414" s="302"/>
      <c r="AZ414" s="302"/>
      <c r="BA414" s="302"/>
      <c r="BB414" s="302"/>
      <c r="BC414" s="302"/>
      <c r="BD414" s="302"/>
      <c r="BE414" s="60"/>
    </row>
    <row r="415" spans="1:57" s="301" customFormat="1">
      <c r="A415" s="57"/>
      <c r="B415" s="57"/>
      <c r="C415" s="57"/>
      <c r="D415" s="57"/>
      <c r="E415" s="57"/>
      <c r="F415" s="57"/>
      <c r="G415" s="57"/>
      <c r="H415" s="57"/>
      <c r="I415" s="300"/>
      <c r="J415" s="57"/>
      <c r="K415" s="57"/>
      <c r="L415" s="57"/>
      <c r="M415" s="57"/>
      <c r="N415" s="57"/>
      <c r="O415" s="57"/>
      <c r="P415" s="146"/>
      <c r="Q415" s="146"/>
      <c r="V415" s="302"/>
      <c r="W415" s="302"/>
      <c r="X415" s="302"/>
      <c r="Y415" s="302"/>
      <c r="Z415" s="302"/>
      <c r="AA415" s="302"/>
      <c r="AB415" s="56"/>
      <c r="AC415" s="302"/>
      <c r="AD415" s="302"/>
      <c r="AE415" s="302"/>
      <c r="AF415" s="302"/>
      <c r="AG415" s="302"/>
      <c r="AH415" s="302"/>
      <c r="AI415" s="302"/>
      <c r="AJ415" s="302"/>
      <c r="AK415" s="302"/>
      <c r="AL415" s="302"/>
      <c r="AM415" s="302"/>
      <c r="AN415" s="302"/>
      <c r="AO415" s="302"/>
      <c r="AP415" s="302"/>
      <c r="AX415" s="302"/>
      <c r="AY415" s="302"/>
      <c r="AZ415" s="302"/>
      <c r="BA415" s="302"/>
      <c r="BB415" s="302"/>
      <c r="BC415" s="302"/>
      <c r="BD415" s="302"/>
      <c r="BE415" s="60"/>
    </row>
    <row r="416" spans="1:57" s="301" customFormat="1">
      <c r="A416" s="57"/>
      <c r="B416" s="57"/>
      <c r="C416" s="57"/>
      <c r="D416" s="57"/>
      <c r="E416" s="57"/>
      <c r="F416" s="57"/>
      <c r="G416" s="57"/>
      <c r="H416" s="57"/>
      <c r="I416" s="300"/>
      <c r="J416" s="57"/>
      <c r="K416" s="57"/>
      <c r="L416" s="57"/>
      <c r="M416" s="57"/>
      <c r="N416" s="57"/>
      <c r="O416" s="57"/>
      <c r="P416" s="146"/>
      <c r="Q416" s="146"/>
      <c r="V416" s="302"/>
      <c r="W416" s="302"/>
      <c r="X416" s="302"/>
      <c r="Y416" s="302"/>
      <c r="Z416" s="302"/>
      <c r="AA416" s="302"/>
      <c r="AB416" s="56"/>
      <c r="AC416" s="302"/>
      <c r="AD416" s="302"/>
      <c r="AE416" s="302"/>
      <c r="AF416" s="302"/>
      <c r="AG416" s="302"/>
      <c r="AH416" s="302"/>
      <c r="AI416" s="302"/>
      <c r="AJ416" s="302"/>
      <c r="AK416" s="302"/>
      <c r="AL416" s="302"/>
      <c r="AM416" s="302"/>
      <c r="AN416" s="302"/>
      <c r="AO416" s="302"/>
      <c r="AP416" s="302"/>
      <c r="AX416" s="302"/>
      <c r="AY416" s="302"/>
      <c r="AZ416" s="302"/>
      <c r="BA416" s="302"/>
      <c r="BB416" s="302"/>
      <c r="BC416" s="302"/>
      <c r="BD416" s="302"/>
      <c r="BE416" s="60"/>
    </row>
    <row r="417" spans="1:57" s="301" customFormat="1">
      <c r="A417" s="57"/>
      <c r="B417" s="57"/>
      <c r="C417" s="57"/>
      <c r="D417" s="57"/>
      <c r="E417" s="57"/>
      <c r="F417" s="57"/>
      <c r="G417" s="57"/>
      <c r="H417" s="57"/>
      <c r="I417" s="300"/>
      <c r="J417" s="57"/>
      <c r="K417" s="57"/>
      <c r="L417" s="57"/>
      <c r="M417" s="57"/>
      <c r="N417" s="57"/>
      <c r="O417" s="57"/>
      <c r="P417" s="146"/>
      <c r="Q417" s="146"/>
      <c r="V417" s="302"/>
      <c r="W417" s="302"/>
      <c r="X417" s="302"/>
      <c r="Y417" s="302"/>
      <c r="Z417" s="302"/>
      <c r="AA417" s="302"/>
      <c r="AB417" s="56"/>
      <c r="AC417" s="302"/>
      <c r="AD417" s="302"/>
      <c r="AE417" s="302"/>
      <c r="AF417" s="302"/>
      <c r="AG417" s="302"/>
      <c r="AH417" s="302"/>
      <c r="AI417" s="302"/>
      <c r="AJ417" s="302"/>
      <c r="AK417" s="302"/>
      <c r="AL417" s="302"/>
      <c r="AM417" s="302"/>
      <c r="AN417" s="302"/>
      <c r="AO417" s="302"/>
      <c r="AP417" s="302"/>
      <c r="AX417" s="302"/>
      <c r="AY417" s="302"/>
      <c r="AZ417" s="302"/>
      <c r="BA417" s="302"/>
      <c r="BB417" s="302"/>
      <c r="BC417" s="302"/>
      <c r="BD417" s="302"/>
      <c r="BE417" s="60"/>
    </row>
    <row r="418" spans="1:57" s="301" customFormat="1">
      <c r="A418" s="57"/>
      <c r="B418" s="57"/>
      <c r="C418" s="57"/>
      <c r="D418" s="57"/>
      <c r="E418" s="57"/>
      <c r="F418" s="57"/>
      <c r="G418" s="57"/>
      <c r="H418" s="57"/>
      <c r="I418" s="300"/>
      <c r="J418" s="57"/>
      <c r="K418" s="57"/>
      <c r="L418" s="57"/>
      <c r="M418" s="57"/>
      <c r="N418" s="57"/>
      <c r="O418" s="57"/>
      <c r="P418" s="146"/>
      <c r="Q418" s="146"/>
      <c r="V418" s="302"/>
      <c r="W418" s="302"/>
      <c r="X418" s="302"/>
      <c r="Y418" s="302"/>
      <c r="Z418" s="302"/>
      <c r="AA418" s="302"/>
      <c r="AB418" s="56"/>
      <c r="AC418" s="302"/>
      <c r="AD418" s="302"/>
      <c r="AE418" s="302"/>
      <c r="AF418" s="302"/>
      <c r="AG418" s="302"/>
      <c r="AH418" s="302"/>
      <c r="AI418" s="302"/>
      <c r="AJ418" s="302"/>
      <c r="AK418" s="302"/>
      <c r="AL418" s="302"/>
      <c r="AM418" s="302"/>
      <c r="AN418" s="302"/>
      <c r="AO418" s="302"/>
      <c r="AP418" s="302"/>
      <c r="AX418" s="302"/>
      <c r="AY418" s="302"/>
      <c r="AZ418" s="302"/>
      <c r="BA418" s="302"/>
      <c r="BB418" s="302"/>
      <c r="BC418" s="302"/>
      <c r="BD418" s="302"/>
      <c r="BE418" s="60"/>
    </row>
    <row r="419" spans="1:57" s="301" customFormat="1">
      <c r="A419" s="57"/>
      <c r="B419" s="57"/>
      <c r="C419" s="57"/>
      <c r="D419" s="57"/>
      <c r="E419" s="57"/>
      <c r="F419" s="57"/>
      <c r="G419" s="57"/>
      <c r="H419" s="57"/>
      <c r="I419" s="300"/>
      <c r="J419" s="57"/>
      <c r="K419" s="57"/>
      <c r="L419" s="57"/>
      <c r="M419" s="57"/>
      <c r="N419" s="57"/>
      <c r="O419" s="57"/>
      <c r="P419" s="146"/>
      <c r="Q419" s="146"/>
      <c r="V419" s="302"/>
      <c r="W419" s="302"/>
      <c r="X419" s="302"/>
      <c r="Y419" s="302"/>
      <c r="Z419" s="302"/>
      <c r="AA419" s="302"/>
      <c r="AB419" s="56"/>
      <c r="AC419" s="302"/>
      <c r="AD419" s="302"/>
      <c r="AE419" s="302"/>
      <c r="AF419" s="302"/>
      <c r="AG419" s="302"/>
      <c r="AH419" s="302"/>
      <c r="AI419" s="302"/>
      <c r="AJ419" s="302"/>
      <c r="AK419" s="302"/>
      <c r="AL419" s="302"/>
      <c r="AM419" s="302"/>
      <c r="AN419" s="302"/>
      <c r="AO419" s="302"/>
      <c r="AP419" s="302"/>
      <c r="AX419" s="302"/>
      <c r="AY419" s="302"/>
      <c r="AZ419" s="302"/>
      <c r="BA419" s="302"/>
      <c r="BB419" s="302"/>
      <c r="BC419" s="302"/>
      <c r="BD419" s="302"/>
      <c r="BE419" s="60"/>
    </row>
    <row r="420" spans="1:57" s="301" customFormat="1">
      <c r="A420" s="57"/>
      <c r="B420" s="57"/>
      <c r="C420" s="57"/>
      <c r="D420" s="57"/>
      <c r="E420" s="57"/>
      <c r="F420" s="57"/>
      <c r="G420" s="57"/>
      <c r="H420" s="57"/>
      <c r="I420" s="300"/>
      <c r="J420" s="57"/>
      <c r="K420" s="57"/>
      <c r="L420" s="57"/>
      <c r="M420" s="57"/>
      <c r="N420" s="57"/>
      <c r="O420" s="57"/>
      <c r="P420" s="146"/>
      <c r="Q420" s="146"/>
      <c r="V420" s="302"/>
      <c r="W420" s="302"/>
      <c r="X420" s="302"/>
      <c r="Y420" s="302"/>
      <c r="Z420" s="302"/>
      <c r="AA420" s="302"/>
      <c r="AB420" s="56"/>
      <c r="AC420" s="302"/>
      <c r="AD420" s="302"/>
      <c r="AE420" s="302"/>
      <c r="AF420" s="302"/>
      <c r="AG420" s="302"/>
      <c r="AH420" s="302"/>
      <c r="AI420" s="302"/>
      <c r="AJ420" s="302"/>
      <c r="AK420" s="302"/>
      <c r="AL420" s="302"/>
      <c r="AM420" s="302"/>
      <c r="AN420" s="302"/>
      <c r="AO420" s="302"/>
      <c r="AP420" s="302"/>
      <c r="AX420" s="302"/>
      <c r="AY420" s="302"/>
      <c r="AZ420" s="302"/>
      <c r="BA420" s="302"/>
      <c r="BB420" s="302"/>
      <c r="BC420" s="302"/>
      <c r="BD420" s="302"/>
      <c r="BE420" s="60"/>
    </row>
    <row r="421" spans="1:57" s="301" customFormat="1">
      <c r="A421" s="57"/>
      <c r="B421" s="57"/>
      <c r="C421" s="57"/>
      <c r="D421" s="57"/>
      <c r="E421" s="57"/>
      <c r="F421" s="57"/>
      <c r="G421" s="57"/>
      <c r="H421" s="57"/>
      <c r="I421" s="300"/>
      <c r="J421" s="57"/>
      <c r="K421" s="57"/>
      <c r="L421" s="57"/>
      <c r="M421" s="57"/>
      <c r="N421" s="57"/>
      <c r="O421" s="57"/>
      <c r="P421" s="146"/>
      <c r="Q421" s="146"/>
      <c r="V421" s="302"/>
      <c r="W421" s="302"/>
      <c r="X421" s="302"/>
      <c r="Y421" s="302"/>
      <c r="Z421" s="302"/>
      <c r="AA421" s="302"/>
      <c r="AB421" s="56"/>
      <c r="AC421" s="302"/>
      <c r="AD421" s="302"/>
      <c r="AE421" s="302"/>
      <c r="AF421" s="302"/>
      <c r="AG421" s="302"/>
      <c r="AH421" s="302"/>
      <c r="AI421" s="302"/>
      <c r="AJ421" s="302"/>
      <c r="AK421" s="302"/>
      <c r="AL421" s="302"/>
      <c r="AM421" s="302"/>
      <c r="AN421" s="302"/>
      <c r="AO421" s="302"/>
      <c r="AP421" s="302"/>
      <c r="AX421" s="302"/>
      <c r="AY421" s="302"/>
      <c r="AZ421" s="302"/>
      <c r="BA421" s="302"/>
      <c r="BB421" s="302"/>
      <c r="BC421" s="302"/>
      <c r="BD421" s="302"/>
      <c r="BE421" s="60"/>
    </row>
    <row r="422" spans="1:57" s="301" customFormat="1">
      <c r="A422" s="57"/>
      <c r="B422" s="57"/>
      <c r="C422" s="57"/>
      <c r="D422" s="57"/>
      <c r="E422" s="57"/>
      <c r="F422" s="57"/>
      <c r="G422" s="57"/>
      <c r="H422" s="57"/>
      <c r="I422" s="300"/>
      <c r="J422" s="57"/>
      <c r="K422" s="57"/>
      <c r="L422" s="57"/>
      <c r="M422" s="57"/>
      <c r="N422" s="57"/>
      <c r="O422" s="57"/>
      <c r="P422" s="146"/>
      <c r="Q422" s="146"/>
      <c r="V422" s="302"/>
      <c r="W422" s="302"/>
      <c r="X422" s="302"/>
      <c r="Y422" s="302"/>
      <c r="Z422" s="302"/>
      <c r="AA422" s="302"/>
      <c r="AB422" s="56"/>
      <c r="AC422" s="302"/>
      <c r="AD422" s="302"/>
      <c r="AE422" s="302"/>
      <c r="AF422" s="302"/>
      <c r="AG422" s="302"/>
      <c r="AH422" s="302"/>
      <c r="AI422" s="302"/>
      <c r="AJ422" s="302"/>
      <c r="AK422" s="302"/>
      <c r="AL422" s="302"/>
      <c r="AM422" s="302"/>
      <c r="AN422" s="302"/>
      <c r="AO422" s="302"/>
      <c r="AP422" s="302"/>
      <c r="AX422" s="302"/>
      <c r="AY422" s="302"/>
      <c r="AZ422" s="302"/>
      <c r="BA422" s="302"/>
      <c r="BB422" s="302"/>
      <c r="BC422" s="302"/>
      <c r="BD422" s="302"/>
      <c r="BE422" s="60"/>
    </row>
    <row r="423" spans="1:57" s="301" customFormat="1">
      <c r="A423" s="57"/>
      <c r="B423" s="57"/>
      <c r="C423" s="57"/>
      <c r="D423" s="57"/>
      <c r="E423" s="57"/>
      <c r="F423" s="57"/>
      <c r="G423" s="57"/>
      <c r="H423" s="57"/>
      <c r="I423" s="300"/>
      <c r="J423" s="57"/>
      <c r="K423" s="57"/>
      <c r="L423" s="57"/>
      <c r="M423" s="57"/>
      <c r="N423" s="57"/>
      <c r="O423" s="57"/>
      <c r="P423" s="146"/>
      <c r="Q423" s="146"/>
      <c r="V423" s="302"/>
      <c r="W423" s="302"/>
      <c r="X423" s="302"/>
      <c r="Y423" s="302"/>
      <c r="Z423" s="302"/>
      <c r="AA423" s="302"/>
      <c r="AB423" s="56"/>
      <c r="AC423" s="302"/>
      <c r="AD423" s="302"/>
      <c r="AE423" s="302"/>
      <c r="AF423" s="302"/>
      <c r="AG423" s="302"/>
      <c r="AH423" s="302"/>
      <c r="AI423" s="302"/>
      <c r="AJ423" s="302"/>
      <c r="AK423" s="302"/>
      <c r="AL423" s="302"/>
      <c r="AM423" s="302"/>
      <c r="AN423" s="302"/>
      <c r="AO423" s="302"/>
      <c r="AP423" s="302"/>
      <c r="AX423" s="302"/>
      <c r="AY423" s="302"/>
      <c r="AZ423" s="302"/>
      <c r="BA423" s="302"/>
      <c r="BB423" s="302"/>
      <c r="BC423" s="302"/>
      <c r="BD423" s="302"/>
      <c r="BE423" s="60"/>
    </row>
    <row r="424" spans="1:57" s="301" customFormat="1">
      <c r="A424" s="57"/>
      <c r="B424" s="57"/>
      <c r="C424" s="57"/>
      <c r="D424" s="57"/>
      <c r="E424" s="57"/>
      <c r="F424" s="57"/>
      <c r="G424" s="57"/>
      <c r="H424" s="57"/>
      <c r="I424" s="300"/>
      <c r="J424" s="57"/>
      <c r="K424" s="57"/>
      <c r="L424" s="57"/>
      <c r="M424" s="57"/>
      <c r="N424" s="57"/>
      <c r="O424" s="57"/>
      <c r="P424" s="146"/>
      <c r="Q424" s="146"/>
      <c r="V424" s="302"/>
      <c r="W424" s="302"/>
      <c r="X424" s="302"/>
      <c r="Y424" s="302"/>
      <c r="Z424" s="302"/>
      <c r="AA424" s="302"/>
      <c r="AB424" s="56"/>
      <c r="AC424" s="302"/>
      <c r="AD424" s="302"/>
      <c r="AE424" s="302"/>
      <c r="AF424" s="302"/>
      <c r="AG424" s="302"/>
      <c r="AH424" s="302"/>
      <c r="AI424" s="302"/>
      <c r="AJ424" s="302"/>
      <c r="AK424" s="302"/>
      <c r="AL424" s="302"/>
      <c r="AM424" s="302"/>
      <c r="AN424" s="302"/>
      <c r="AO424" s="302"/>
      <c r="AP424" s="302"/>
      <c r="AX424" s="302"/>
      <c r="AY424" s="302"/>
      <c r="AZ424" s="302"/>
      <c r="BA424" s="302"/>
      <c r="BB424" s="302"/>
      <c r="BC424" s="302"/>
      <c r="BD424" s="302"/>
      <c r="BE424" s="60"/>
    </row>
    <row r="425" spans="1:57" s="301" customFormat="1">
      <c r="A425" s="57"/>
      <c r="B425" s="57"/>
      <c r="C425" s="57"/>
      <c r="D425" s="57"/>
      <c r="E425" s="57"/>
      <c r="F425" s="57"/>
      <c r="G425" s="57"/>
      <c r="H425" s="57"/>
      <c r="I425" s="300"/>
      <c r="J425" s="57"/>
      <c r="K425" s="57"/>
      <c r="L425" s="57"/>
      <c r="M425" s="57"/>
      <c r="N425" s="57"/>
      <c r="O425" s="57"/>
      <c r="P425" s="146"/>
      <c r="Q425" s="146"/>
      <c r="V425" s="302"/>
      <c r="W425" s="302"/>
      <c r="X425" s="302"/>
      <c r="Y425" s="302"/>
      <c r="Z425" s="302"/>
      <c r="AA425" s="302"/>
      <c r="AB425" s="56"/>
      <c r="AC425" s="302"/>
      <c r="AD425" s="302"/>
      <c r="AE425" s="302"/>
      <c r="AF425" s="302"/>
      <c r="AG425" s="302"/>
      <c r="AH425" s="302"/>
      <c r="AI425" s="302"/>
      <c r="AJ425" s="302"/>
      <c r="AK425" s="302"/>
      <c r="AL425" s="302"/>
      <c r="AM425" s="302"/>
      <c r="AN425" s="302"/>
      <c r="AO425" s="302"/>
      <c r="AP425" s="302"/>
      <c r="AX425" s="302"/>
      <c r="AY425" s="302"/>
      <c r="AZ425" s="302"/>
      <c r="BA425" s="302"/>
      <c r="BB425" s="302"/>
      <c r="BC425" s="302"/>
      <c r="BD425" s="302"/>
      <c r="BE425" s="60"/>
    </row>
    <row r="426" spans="1:57" s="301" customFormat="1">
      <c r="A426" s="57"/>
      <c r="B426" s="57"/>
      <c r="C426" s="57"/>
      <c r="D426" s="57"/>
      <c r="E426" s="57"/>
      <c r="F426" s="57"/>
      <c r="G426" s="57"/>
      <c r="H426" s="57"/>
      <c r="I426" s="300"/>
      <c r="J426" s="57"/>
      <c r="K426" s="57"/>
      <c r="L426" s="57"/>
      <c r="M426" s="57"/>
      <c r="N426" s="57"/>
      <c r="O426" s="57"/>
      <c r="P426" s="146"/>
      <c r="Q426" s="146"/>
      <c r="V426" s="302"/>
      <c r="W426" s="302"/>
      <c r="X426" s="302"/>
      <c r="Y426" s="302"/>
      <c r="Z426" s="302"/>
      <c r="AA426" s="302"/>
      <c r="AB426" s="56"/>
      <c r="AC426" s="302"/>
      <c r="AD426" s="302"/>
      <c r="AE426" s="302"/>
      <c r="AF426" s="302"/>
      <c r="AG426" s="302"/>
      <c r="AH426" s="302"/>
      <c r="AI426" s="302"/>
      <c r="AJ426" s="302"/>
      <c r="AK426" s="302"/>
      <c r="AL426" s="302"/>
      <c r="AM426" s="302"/>
      <c r="AN426" s="302"/>
      <c r="AO426" s="302"/>
      <c r="AP426" s="302"/>
      <c r="AX426" s="302"/>
      <c r="AY426" s="302"/>
      <c r="AZ426" s="302"/>
      <c r="BA426" s="302"/>
      <c r="BB426" s="302"/>
      <c r="BC426" s="302"/>
      <c r="BD426" s="302"/>
      <c r="BE426" s="60"/>
    </row>
    <row r="427" spans="1:57" s="301" customFormat="1">
      <c r="A427" s="57"/>
      <c r="B427" s="57"/>
      <c r="C427" s="57"/>
      <c r="D427" s="57"/>
      <c r="E427" s="57"/>
      <c r="F427" s="57"/>
      <c r="G427" s="57"/>
      <c r="H427" s="57"/>
      <c r="I427" s="300"/>
      <c r="J427" s="57"/>
      <c r="K427" s="57"/>
      <c r="L427" s="57"/>
      <c r="M427" s="57"/>
      <c r="N427" s="57"/>
      <c r="O427" s="57"/>
      <c r="P427" s="146"/>
      <c r="Q427" s="146"/>
      <c r="V427" s="302"/>
      <c r="W427" s="302"/>
      <c r="X427" s="302"/>
      <c r="Y427" s="302"/>
      <c r="Z427" s="302"/>
      <c r="AA427" s="302"/>
      <c r="AB427" s="56"/>
      <c r="AC427" s="302"/>
      <c r="AD427" s="302"/>
      <c r="AE427" s="302"/>
      <c r="AF427" s="302"/>
      <c r="AG427" s="302"/>
      <c r="AH427" s="302"/>
      <c r="AI427" s="302"/>
      <c r="AJ427" s="302"/>
      <c r="AK427" s="302"/>
      <c r="AL427" s="302"/>
      <c r="AM427" s="302"/>
      <c r="AN427" s="302"/>
      <c r="AO427" s="302"/>
      <c r="AP427" s="302"/>
      <c r="AX427" s="302"/>
      <c r="AY427" s="302"/>
      <c r="AZ427" s="302"/>
      <c r="BA427" s="302"/>
      <c r="BB427" s="302"/>
      <c r="BC427" s="302"/>
      <c r="BD427" s="302"/>
      <c r="BE427" s="60"/>
    </row>
    <row r="428" spans="1:57" s="301" customFormat="1">
      <c r="A428" s="57"/>
      <c r="B428" s="57"/>
      <c r="C428" s="57"/>
      <c r="D428" s="57"/>
      <c r="E428" s="57"/>
      <c r="F428" s="57"/>
      <c r="G428" s="57"/>
      <c r="H428" s="57"/>
      <c r="I428" s="300"/>
      <c r="J428" s="57"/>
      <c r="K428" s="57"/>
      <c r="L428" s="57"/>
      <c r="M428" s="57"/>
      <c r="N428" s="57"/>
      <c r="O428" s="57"/>
      <c r="P428" s="146"/>
      <c r="Q428" s="146"/>
      <c r="V428" s="302"/>
      <c r="W428" s="302"/>
      <c r="X428" s="302"/>
      <c r="Y428" s="302"/>
      <c r="Z428" s="302"/>
      <c r="AA428" s="302"/>
      <c r="AB428" s="56"/>
      <c r="AC428" s="302"/>
      <c r="AD428" s="302"/>
      <c r="AE428" s="302"/>
      <c r="AF428" s="302"/>
      <c r="AG428" s="302"/>
      <c r="AH428" s="302"/>
      <c r="AI428" s="302"/>
      <c r="AJ428" s="302"/>
      <c r="AK428" s="302"/>
      <c r="AL428" s="302"/>
      <c r="AM428" s="302"/>
      <c r="AN428" s="302"/>
      <c r="AO428" s="302"/>
      <c r="AP428" s="302"/>
      <c r="AX428" s="302"/>
      <c r="AY428" s="302"/>
      <c r="AZ428" s="302"/>
      <c r="BA428" s="302"/>
      <c r="BB428" s="302"/>
      <c r="BC428" s="302"/>
      <c r="BD428" s="302"/>
      <c r="BE428" s="60"/>
    </row>
    <row r="429" spans="1:57" s="301" customFormat="1">
      <c r="A429" s="57"/>
      <c r="B429" s="57"/>
      <c r="C429" s="57"/>
      <c r="D429" s="57"/>
      <c r="E429" s="57"/>
      <c r="F429" s="57"/>
      <c r="G429" s="57"/>
      <c r="H429" s="57"/>
      <c r="I429" s="300"/>
      <c r="J429" s="57"/>
      <c r="K429" s="57"/>
      <c r="L429" s="57"/>
      <c r="M429" s="57"/>
      <c r="N429" s="57"/>
      <c r="O429" s="57"/>
      <c r="P429" s="146"/>
      <c r="Q429" s="146"/>
      <c r="V429" s="302"/>
      <c r="W429" s="302"/>
      <c r="X429" s="302"/>
      <c r="Y429" s="302"/>
      <c r="Z429" s="302"/>
      <c r="AA429" s="302"/>
      <c r="AB429" s="56"/>
      <c r="AC429" s="302"/>
      <c r="AD429" s="302"/>
      <c r="AE429" s="302"/>
      <c r="AF429" s="302"/>
      <c r="AG429" s="302"/>
      <c r="AH429" s="302"/>
      <c r="AI429" s="302"/>
      <c r="AJ429" s="302"/>
      <c r="AK429" s="302"/>
      <c r="AL429" s="302"/>
      <c r="AM429" s="302"/>
      <c r="AN429" s="302"/>
      <c r="AO429" s="302"/>
      <c r="AP429" s="302"/>
      <c r="AX429" s="302"/>
      <c r="AY429" s="302"/>
      <c r="AZ429" s="302"/>
      <c r="BA429" s="302"/>
      <c r="BB429" s="302"/>
      <c r="BC429" s="302"/>
      <c r="BD429" s="302"/>
      <c r="BE429" s="60"/>
    </row>
    <row r="430" spans="1:57" s="301" customFormat="1">
      <c r="A430" s="57"/>
      <c r="B430" s="57"/>
      <c r="C430" s="57"/>
      <c r="D430" s="57"/>
      <c r="E430" s="57"/>
      <c r="F430" s="57"/>
      <c r="G430" s="57"/>
      <c r="H430" s="57"/>
      <c r="I430" s="300"/>
      <c r="J430" s="57"/>
      <c r="K430" s="57"/>
      <c r="L430" s="57"/>
      <c r="M430" s="57"/>
      <c r="N430" s="57"/>
      <c r="O430" s="57"/>
      <c r="P430" s="146"/>
      <c r="Q430" s="146"/>
      <c r="V430" s="302"/>
      <c r="W430" s="302"/>
      <c r="X430" s="302"/>
      <c r="Y430" s="302"/>
      <c r="Z430" s="302"/>
      <c r="AA430" s="302"/>
      <c r="AB430" s="56"/>
      <c r="AC430" s="302"/>
      <c r="AD430" s="302"/>
      <c r="AE430" s="302"/>
      <c r="AF430" s="302"/>
      <c r="AG430" s="302"/>
      <c r="AH430" s="302"/>
      <c r="AI430" s="302"/>
      <c r="AJ430" s="302"/>
      <c r="AK430" s="302"/>
      <c r="AL430" s="302"/>
      <c r="AM430" s="302"/>
      <c r="AN430" s="302"/>
      <c r="AO430" s="302"/>
      <c r="AP430" s="302"/>
      <c r="AX430" s="302"/>
      <c r="AY430" s="302"/>
      <c r="AZ430" s="302"/>
      <c r="BA430" s="302"/>
      <c r="BB430" s="302"/>
      <c r="BC430" s="302"/>
      <c r="BD430" s="302"/>
      <c r="BE430" s="60"/>
    </row>
    <row r="431" spans="1:57" s="301" customFormat="1">
      <c r="A431" s="57"/>
      <c r="B431" s="57"/>
      <c r="C431" s="57"/>
      <c r="D431" s="57"/>
      <c r="E431" s="57"/>
      <c r="F431" s="57"/>
      <c r="G431" s="57"/>
      <c r="H431" s="57"/>
      <c r="I431" s="300"/>
      <c r="J431" s="57"/>
      <c r="K431" s="57"/>
      <c r="L431" s="57"/>
      <c r="M431" s="57"/>
      <c r="N431" s="57"/>
      <c r="O431" s="57"/>
      <c r="P431" s="146"/>
      <c r="Q431" s="146"/>
      <c r="V431" s="302"/>
      <c r="W431" s="302"/>
      <c r="X431" s="302"/>
      <c r="Y431" s="302"/>
      <c r="Z431" s="302"/>
      <c r="AA431" s="302"/>
      <c r="AB431" s="56"/>
      <c r="AC431" s="302"/>
      <c r="AD431" s="302"/>
      <c r="AE431" s="302"/>
      <c r="AF431" s="302"/>
      <c r="AG431" s="302"/>
      <c r="AH431" s="302"/>
      <c r="AI431" s="302"/>
      <c r="AJ431" s="302"/>
      <c r="AK431" s="302"/>
      <c r="AL431" s="302"/>
      <c r="AM431" s="302"/>
      <c r="AN431" s="302"/>
      <c r="AO431" s="302"/>
      <c r="AP431" s="302"/>
      <c r="AX431" s="302"/>
      <c r="AY431" s="302"/>
      <c r="AZ431" s="302"/>
      <c r="BA431" s="302"/>
      <c r="BB431" s="302"/>
      <c r="BC431" s="302"/>
      <c r="BD431" s="302"/>
      <c r="BE431" s="60"/>
    </row>
    <row r="432" spans="1:57" s="301" customFormat="1">
      <c r="A432" s="57"/>
      <c r="B432" s="57"/>
      <c r="C432" s="57"/>
      <c r="D432" s="57"/>
      <c r="E432" s="57"/>
      <c r="F432" s="57"/>
      <c r="G432" s="57"/>
      <c r="H432" s="57"/>
      <c r="I432" s="300"/>
      <c r="J432" s="57"/>
      <c r="K432" s="57"/>
      <c r="L432" s="57"/>
      <c r="M432" s="57"/>
      <c r="N432" s="57"/>
      <c r="O432" s="57"/>
      <c r="P432" s="146"/>
      <c r="Q432" s="146"/>
      <c r="V432" s="302"/>
      <c r="W432" s="302"/>
      <c r="X432" s="302"/>
      <c r="Y432" s="302"/>
      <c r="Z432" s="302"/>
      <c r="AA432" s="302"/>
      <c r="AB432" s="56"/>
      <c r="AC432" s="302"/>
      <c r="AD432" s="302"/>
      <c r="AE432" s="302"/>
      <c r="AF432" s="302"/>
      <c r="AG432" s="302"/>
      <c r="AH432" s="302"/>
      <c r="AI432" s="302"/>
      <c r="AJ432" s="302"/>
      <c r="AK432" s="302"/>
      <c r="AL432" s="302"/>
      <c r="AM432" s="302"/>
      <c r="AN432" s="302"/>
      <c r="AO432" s="302"/>
      <c r="AP432" s="302"/>
      <c r="AX432" s="302"/>
      <c r="AY432" s="302"/>
      <c r="AZ432" s="302"/>
      <c r="BA432" s="302"/>
      <c r="BB432" s="302"/>
      <c r="BC432" s="302"/>
      <c r="BD432" s="302"/>
      <c r="BE432" s="60"/>
    </row>
    <row r="433" spans="1:57" s="301" customFormat="1">
      <c r="A433" s="57"/>
      <c r="B433" s="57"/>
      <c r="C433" s="57"/>
      <c r="D433" s="57"/>
      <c r="E433" s="57"/>
      <c r="F433" s="57"/>
      <c r="G433" s="57"/>
      <c r="H433" s="57"/>
      <c r="I433" s="300"/>
      <c r="J433" s="57"/>
      <c r="K433" s="57"/>
      <c r="L433" s="57"/>
      <c r="M433" s="57"/>
      <c r="N433" s="57"/>
      <c r="O433" s="57"/>
      <c r="P433" s="146"/>
      <c r="Q433" s="146"/>
      <c r="V433" s="302"/>
      <c r="W433" s="302"/>
      <c r="X433" s="302"/>
      <c r="Y433" s="302"/>
      <c r="Z433" s="302"/>
      <c r="AA433" s="302"/>
      <c r="AB433" s="56"/>
      <c r="AC433" s="302"/>
      <c r="AD433" s="302"/>
      <c r="AE433" s="302"/>
      <c r="AF433" s="302"/>
      <c r="AG433" s="302"/>
      <c r="AH433" s="302"/>
      <c r="AI433" s="302"/>
      <c r="AJ433" s="302"/>
      <c r="AK433" s="302"/>
      <c r="AL433" s="302"/>
      <c r="AM433" s="302"/>
      <c r="AN433" s="302"/>
      <c r="AO433" s="302"/>
      <c r="AP433" s="302"/>
      <c r="AX433" s="302"/>
      <c r="AY433" s="302"/>
      <c r="AZ433" s="302"/>
      <c r="BA433" s="302"/>
      <c r="BB433" s="302"/>
      <c r="BC433" s="302"/>
      <c r="BD433" s="302"/>
      <c r="BE433" s="60"/>
    </row>
    <row r="434" spans="1:57" s="301" customFormat="1">
      <c r="A434" s="57"/>
      <c r="B434" s="57"/>
      <c r="C434" s="57"/>
      <c r="D434" s="57"/>
      <c r="E434" s="57"/>
      <c r="F434" s="57"/>
      <c r="G434" s="57"/>
      <c r="H434" s="57"/>
      <c r="I434" s="300"/>
      <c r="J434" s="57"/>
      <c r="K434" s="57"/>
      <c r="L434" s="57"/>
      <c r="M434" s="57"/>
      <c r="N434" s="57"/>
      <c r="O434" s="57"/>
      <c r="P434" s="146"/>
      <c r="Q434" s="146"/>
      <c r="V434" s="302"/>
      <c r="W434" s="302"/>
      <c r="X434" s="302"/>
      <c r="Y434" s="302"/>
      <c r="Z434" s="302"/>
      <c r="AA434" s="302"/>
      <c r="AB434" s="56"/>
      <c r="AC434" s="302"/>
      <c r="AD434" s="302"/>
      <c r="AE434" s="302"/>
      <c r="AF434" s="302"/>
      <c r="AG434" s="302"/>
      <c r="AH434" s="302"/>
      <c r="AI434" s="302"/>
      <c r="AJ434" s="302"/>
      <c r="AK434" s="302"/>
      <c r="AL434" s="302"/>
      <c r="AM434" s="302"/>
      <c r="AN434" s="302"/>
      <c r="AO434" s="302"/>
      <c r="AP434" s="302"/>
      <c r="AX434" s="302"/>
      <c r="AY434" s="302"/>
      <c r="AZ434" s="302"/>
      <c r="BA434" s="302"/>
      <c r="BB434" s="302"/>
      <c r="BC434" s="302"/>
      <c r="BD434" s="302"/>
      <c r="BE434" s="60"/>
    </row>
    <row r="435" spans="1:57" s="301" customFormat="1">
      <c r="A435" s="57"/>
      <c r="B435" s="57"/>
      <c r="C435" s="57"/>
      <c r="D435" s="57"/>
      <c r="E435" s="57"/>
      <c r="F435" s="57"/>
      <c r="G435" s="57"/>
      <c r="H435" s="57"/>
      <c r="I435" s="300"/>
      <c r="J435" s="57"/>
      <c r="K435" s="57"/>
      <c r="L435" s="57"/>
      <c r="M435" s="57"/>
      <c r="N435" s="57"/>
      <c r="O435" s="57"/>
      <c r="P435" s="146"/>
      <c r="Q435" s="146"/>
      <c r="V435" s="302"/>
      <c r="W435" s="302"/>
      <c r="X435" s="302"/>
      <c r="Y435" s="302"/>
      <c r="Z435" s="302"/>
      <c r="AA435" s="302"/>
      <c r="AB435" s="56"/>
      <c r="AC435" s="302"/>
      <c r="AD435" s="302"/>
      <c r="AE435" s="302"/>
      <c r="AF435" s="302"/>
      <c r="AG435" s="302"/>
      <c r="AH435" s="302"/>
      <c r="AI435" s="302"/>
      <c r="AJ435" s="302"/>
      <c r="AK435" s="302"/>
      <c r="AL435" s="302"/>
      <c r="AM435" s="302"/>
      <c r="AN435" s="302"/>
      <c r="AO435" s="302"/>
      <c r="AP435" s="302"/>
      <c r="AX435" s="302"/>
      <c r="AY435" s="302"/>
      <c r="AZ435" s="302"/>
      <c r="BA435" s="302"/>
      <c r="BB435" s="302"/>
      <c r="BC435" s="302"/>
      <c r="BD435" s="302"/>
      <c r="BE435" s="60"/>
    </row>
    <row r="436" spans="1:57" s="301" customFormat="1">
      <c r="A436" s="57"/>
      <c r="B436" s="57"/>
      <c r="C436" s="57"/>
      <c r="D436" s="57"/>
      <c r="E436" s="57"/>
      <c r="F436" s="57"/>
      <c r="G436" s="57"/>
      <c r="H436" s="57"/>
      <c r="I436" s="300"/>
      <c r="J436" s="57"/>
      <c r="K436" s="57"/>
      <c r="L436" s="57"/>
      <c r="M436" s="57"/>
      <c r="N436" s="57"/>
      <c r="O436" s="57"/>
      <c r="P436" s="146"/>
      <c r="Q436" s="146"/>
      <c r="V436" s="302"/>
      <c r="W436" s="302"/>
      <c r="X436" s="302"/>
      <c r="Y436" s="302"/>
      <c r="Z436" s="302"/>
      <c r="AA436" s="302"/>
      <c r="AB436" s="56"/>
      <c r="AC436" s="302"/>
      <c r="AD436" s="302"/>
      <c r="AE436" s="302"/>
      <c r="AF436" s="302"/>
      <c r="AG436" s="302"/>
      <c r="AH436" s="302"/>
      <c r="AI436" s="302"/>
      <c r="AJ436" s="302"/>
      <c r="AK436" s="302"/>
      <c r="AL436" s="302"/>
      <c r="AM436" s="302"/>
      <c r="AN436" s="302"/>
      <c r="AO436" s="302"/>
      <c r="AP436" s="302"/>
      <c r="AX436" s="302"/>
      <c r="AY436" s="302"/>
      <c r="AZ436" s="302"/>
      <c r="BA436" s="302"/>
      <c r="BB436" s="302"/>
      <c r="BC436" s="302"/>
      <c r="BD436" s="302"/>
      <c r="BE436" s="60"/>
    </row>
    <row r="437" spans="1:57" s="301" customFormat="1">
      <c r="A437" s="57"/>
      <c r="B437" s="57"/>
      <c r="C437" s="57"/>
      <c r="D437" s="57"/>
      <c r="E437" s="57"/>
      <c r="F437" s="57"/>
      <c r="G437" s="57"/>
      <c r="H437" s="57"/>
      <c r="I437" s="300"/>
      <c r="J437" s="57"/>
      <c r="K437" s="57"/>
      <c r="L437" s="57"/>
      <c r="M437" s="57"/>
      <c r="N437" s="57"/>
      <c r="O437" s="57"/>
      <c r="P437" s="146"/>
      <c r="Q437" s="146"/>
      <c r="V437" s="302"/>
      <c r="W437" s="302"/>
      <c r="X437" s="302"/>
      <c r="Y437" s="302"/>
      <c r="Z437" s="302"/>
      <c r="AA437" s="302"/>
      <c r="AB437" s="56"/>
      <c r="AC437" s="302"/>
      <c r="AD437" s="302"/>
      <c r="AE437" s="302"/>
      <c r="AF437" s="302"/>
      <c r="AG437" s="302"/>
      <c r="AH437" s="302"/>
      <c r="AI437" s="302"/>
      <c r="AJ437" s="302"/>
      <c r="AK437" s="302"/>
      <c r="AL437" s="302"/>
      <c r="AM437" s="302"/>
      <c r="AN437" s="302"/>
      <c r="AO437" s="302"/>
      <c r="AP437" s="302"/>
      <c r="AX437" s="302"/>
      <c r="AY437" s="302"/>
      <c r="AZ437" s="302"/>
      <c r="BA437" s="302"/>
      <c r="BB437" s="302"/>
      <c r="BC437" s="302"/>
      <c r="BD437" s="302"/>
      <c r="BE437" s="60"/>
    </row>
    <row r="438" spans="1:57" s="301" customFormat="1">
      <c r="A438" s="57"/>
      <c r="B438" s="57"/>
      <c r="C438" s="57"/>
      <c r="D438" s="57"/>
      <c r="E438" s="57"/>
      <c r="F438" s="57"/>
      <c r="G438" s="57"/>
      <c r="H438" s="57"/>
      <c r="I438" s="300"/>
      <c r="J438" s="57"/>
      <c r="K438" s="57"/>
      <c r="L438" s="57"/>
      <c r="M438" s="57"/>
      <c r="N438" s="57"/>
      <c r="O438" s="57"/>
      <c r="P438" s="146"/>
      <c r="Q438" s="146"/>
      <c r="V438" s="302"/>
      <c r="W438" s="302"/>
      <c r="X438" s="302"/>
      <c r="Y438" s="302"/>
      <c r="Z438" s="302"/>
      <c r="AA438" s="302"/>
      <c r="AB438" s="56"/>
      <c r="AC438" s="302"/>
      <c r="AD438" s="302"/>
      <c r="AE438" s="302"/>
      <c r="AF438" s="302"/>
      <c r="AG438" s="302"/>
      <c r="AH438" s="302"/>
      <c r="AI438" s="302"/>
      <c r="AJ438" s="302"/>
      <c r="AK438" s="302"/>
      <c r="AL438" s="302"/>
      <c r="AM438" s="302"/>
      <c r="AN438" s="302"/>
      <c r="AO438" s="302"/>
      <c r="AP438" s="302"/>
      <c r="AX438" s="302"/>
      <c r="AY438" s="302"/>
      <c r="AZ438" s="302"/>
      <c r="BA438" s="302"/>
      <c r="BB438" s="302"/>
      <c r="BC438" s="302"/>
      <c r="BD438" s="302"/>
      <c r="BE438" s="60"/>
    </row>
    <row r="439" spans="1:57" s="301" customFormat="1">
      <c r="A439" s="57"/>
      <c r="B439" s="57"/>
      <c r="C439" s="57"/>
      <c r="D439" s="57"/>
      <c r="E439" s="57"/>
      <c r="F439" s="57"/>
      <c r="G439" s="57"/>
      <c r="H439" s="57"/>
      <c r="I439" s="300"/>
      <c r="J439" s="57"/>
      <c r="K439" s="57"/>
      <c r="L439" s="57"/>
      <c r="M439" s="57"/>
      <c r="N439" s="57"/>
      <c r="O439" s="57"/>
      <c r="P439" s="146"/>
      <c r="Q439" s="146"/>
      <c r="V439" s="302"/>
      <c r="W439" s="302"/>
      <c r="X439" s="302"/>
      <c r="Y439" s="302"/>
      <c r="Z439" s="302"/>
      <c r="AA439" s="302"/>
      <c r="AB439" s="56"/>
      <c r="AC439" s="302"/>
      <c r="AD439" s="302"/>
      <c r="AE439" s="302"/>
      <c r="AF439" s="302"/>
      <c r="AG439" s="302"/>
      <c r="AH439" s="302"/>
      <c r="AI439" s="302"/>
      <c r="AJ439" s="302"/>
      <c r="AK439" s="302"/>
      <c r="AL439" s="302"/>
      <c r="AM439" s="302"/>
      <c r="AN439" s="302"/>
      <c r="AO439" s="302"/>
      <c r="AP439" s="302"/>
      <c r="AX439" s="302"/>
      <c r="AY439" s="302"/>
      <c r="AZ439" s="302"/>
      <c r="BA439" s="302"/>
      <c r="BB439" s="302"/>
      <c r="BC439" s="302"/>
      <c r="BD439" s="302"/>
      <c r="BE439" s="60"/>
    </row>
    <row r="440" spans="1:57" s="301" customFormat="1">
      <c r="A440" s="57"/>
      <c r="B440" s="57"/>
      <c r="C440" s="57"/>
      <c r="D440" s="57"/>
      <c r="E440" s="57"/>
      <c r="F440" s="57"/>
      <c r="G440" s="57"/>
      <c r="H440" s="57"/>
      <c r="I440" s="300"/>
      <c r="J440" s="57"/>
      <c r="K440" s="57"/>
      <c r="L440" s="57"/>
      <c r="M440" s="57"/>
      <c r="N440" s="57"/>
      <c r="O440" s="57"/>
      <c r="P440" s="146"/>
      <c r="Q440" s="146"/>
      <c r="V440" s="302"/>
      <c r="W440" s="302"/>
      <c r="X440" s="302"/>
      <c r="Y440" s="302"/>
      <c r="Z440" s="302"/>
      <c r="AA440" s="302"/>
      <c r="AB440" s="56"/>
      <c r="AC440" s="302"/>
      <c r="AD440" s="302"/>
      <c r="AE440" s="302"/>
      <c r="AF440" s="302"/>
      <c r="AG440" s="302"/>
      <c r="AH440" s="302"/>
      <c r="AI440" s="302"/>
      <c r="AJ440" s="302"/>
      <c r="AK440" s="302"/>
      <c r="AL440" s="302"/>
      <c r="AM440" s="302"/>
      <c r="AN440" s="302"/>
      <c r="AO440" s="302"/>
      <c r="AP440" s="302"/>
      <c r="AX440" s="302"/>
      <c r="AY440" s="302"/>
      <c r="AZ440" s="302"/>
      <c r="BA440" s="302"/>
      <c r="BB440" s="302"/>
      <c r="BC440" s="302"/>
      <c r="BD440" s="302"/>
      <c r="BE440" s="60"/>
    </row>
    <row r="441" spans="1:57" s="301" customFormat="1">
      <c r="A441" s="57"/>
      <c r="B441" s="57"/>
      <c r="C441" s="57"/>
      <c r="D441" s="57"/>
      <c r="E441" s="57"/>
      <c r="F441" s="57"/>
      <c r="G441" s="57"/>
      <c r="H441" s="57"/>
      <c r="I441" s="300"/>
      <c r="J441" s="57"/>
      <c r="K441" s="57"/>
      <c r="L441" s="57"/>
      <c r="M441" s="57"/>
      <c r="N441" s="57"/>
      <c r="O441" s="57"/>
      <c r="P441" s="146"/>
      <c r="Q441" s="146"/>
      <c r="V441" s="302"/>
      <c r="W441" s="302"/>
      <c r="X441" s="302"/>
      <c r="Y441" s="302"/>
      <c r="Z441" s="302"/>
      <c r="AA441" s="302"/>
      <c r="AB441" s="56"/>
      <c r="AC441" s="302"/>
      <c r="AD441" s="302"/>
      <c r="AE441" s="302"/>
      <c r="AF441" s="302"/>
      <c r="AG441" s="302"/>
      <c r="AH441" s="302"/>
      <c r="AI441" s="302"/>
      <c r="AJ441" s="302"/>
      <c r="AK441" s="302"/>
      <c r="AL441" s="302"/>
      <c r="AM441" s="302"/>
      <c r="AN441" s="302"/>
      <c r="AO441" s="302"/>
      <c r="AP441" s="302"/>
      <c r="AX441" s="302"/>
      <c r="AY441" s="302"/>
      <c r="AZ441" s="302"/>
      <c r="BA441" s="302"/>
      <c r="BB441" s="302"/>
      <c r="BC441" s="302"/>
      <c r="BD441" s="302"/>
      <c r="BE441" s="60"/>
    </row>
    <row r="442" spans="1:57" s="301" customFormat="1">
      <c r="A442" s="57"/>
      <c r="B442" s="57"/>
      <c r="C442" s="57"/>
      <c r="D442" s="57"/>
      <c r="E442" s="57"/>
      <c r="F442" s="57"/>
      <c r="G442" s="57"/>
      <c r="H442" s="57"/>
      <c r="I442" s="300"/>
      <c r="J442" s="57"/>
      <c r="K442" s="57"/>
      <c r="L442" s="57"/>
      <c r="M442" s="57"/>
      <c r="N442" s="57"/>
      <c r="O442" s="57"/>
      <c r="P442" s="146"/>
      <c r="Q442" s="146"/>
      <c r="V442" s="302"/>
      <c r="W442" s="302"/>
      <c r="X442" s="302"/>
      <c r="Y442" s="302"/>
      <c r="Z442" s="302"/>
      <c r="AA442" s="302"/>
      <c r="AB442" s="56"/>
      <c r="AC442" s="302"/>
      <c r="AD442" s="302"/>
      <c r="AE442" s="302"/>
      <c r="AF442" s="302"/>
      <c r="AG442" s="302"/>
      <c r="AH442" s="302"/>
      <c r="AI442" s="302"/>
      <c r="AJ442" s="302"/>
      <c r="AK442" s="302"/>
      <c r="AL442" s="302"/>
      <c r="AM442" s="302"/>
      <c r="AN442" s="302"/>
      <c r="AO442" s="302"/>
      <c r="AP442" s="302"/>
      <c r="AX442" s="302"/>
      <c r="AY442" s="302"/>
      <c r="AZ442" s="302"/>
      <c r="BA442" s="302"/>
      <c r="BB442" s="302"/>
      <c r="BC442" s="302"/>
      <c r="BD442" s="302"/>
      <c r="BE442" s="60"/>
    </row>
    <row r="443" spans="1:57" s="301" customFormat="1">
      <c r="A443" s="57"/>
      <c r="B443" s="57"/>
      <c r="C443" s="57"/>
      <c r="D443" s="57"/>
      <c r="E443" s="57"/>
      <c r="F443" s="57"/>
      <c r="G443" s="57"/>
      <c r="H443" s="57"/>
      <c r="I443" s="300"/>
      <c r="J443" s="57"/>
      <c r="K443" s="57"/>
      <c r="L443" s="57"/>
      <c r="M443" s="57"/>
      <c r="N443" s="57"/>
      <c r="O443" s="57"/>
      <c r="P443" s="146"/>
      <c r="Q443" s="146"/>
      <c r="V443" s="302"/>
      <c r="W443" s="302"/>
      <c r="X443" s="302"/>
      <c r="Y443" s="302"/>
      <c r="Z443" s="302"/>
      <c r="AA443" s="302"/>
      <c r="AB443" s="56"/>
      <c r="AC443" s="302"/>
      <c r="AD443" s="302"/>
      <c r="AE443" s="302"/>
      <c r="AF443" s="302"/>
      <c r="AG443" s="302"/>
      <c r="AH443" s="302"/>
      <c r="AI443" s="302"/>
      <c r="AJ443" s="302"/>
      <c r="AK443" s="302"/>
      <c r="AL443" s="302"/>
      <c r="AM443" s="302"/>
      <c r="AN443" s="302"/>
      <c r="AO443" s="302"/>
      <c r="AP443" s="302"/>
      <c r="AX443" s="302"/>
      <c r="AY443" s="302"/>
      <c r="AZ443" s="302"/>
      <c r="BA443" s="302"/>
      <c r="BB443" s="302"/>
      <c r="BC443" s="302"/>
      <c r="BD443" s="302"/>
      <c r="BE443" s="60"/>
    </row>
    <row r="444" spans="1:57" s="301" customFormat="1">
      <c r="A444" s="57"/>
      <c r="B444" s="57"/>
      <c r="C444" s="57"/>
      <c r="D444" s="57"/>
      <c r="E444" s="57"/>
      <c r="F444" s="57"/>
      <c r="G444" s="57"/>
      <c r="H444" s="57"/>
      <c r="I444" s="300"/>
      <c r="J444" s="57"/>
      <c r="K444" s="57"/>
      <c r="L444" s="57"/>
      <c r="M444" s="57"/>
      <c r="N444" s="57"/>
      <c r="O444" s="57"/>
      <c r="P444" s="146"/>
      <c r="Q444" s="146"/>
      <c r="V444" s="302"/>
      <c r="W444" s="302"/>
      <c r="X444" s="302"/>
      <c r="Y444" s="302"/>
      <c r="Z444" s="302"/>
      <c r="AA444" s="302"/>
      <c r="AB444" s="56"/>
      <c r="AC444" s="302"/>
      <c r="AD444" s="302"/>
      <c r="AE444" s="302"/>
      <c r="AF444" s="302"/>
      <c r="AG444" s="302"/>
      <c r="AH444" s="302"/>
      <c r="AI444" s="302"/>
      <c r="AJ444" s="302"/>
      <c r="AK444" s="302"/>
      <c r="AL444" s="302"/>
      <c r="AM444" s="302"/>
      <c r="AN444" s="302"/>
      <c r="AO444" s="302"/>
      <c r="AP444" s="302"/>
      <c r="AX444" s="302"/>
      <c r="AY444" s="302"/>
      <c r="AZ444" s="302"/>
      <c r="BA444" s="302"/>
      <c r="BB444" s="302"/>
      <c r="BC444" s="302"/>
      <c r="BD444" s="302"/>
      <c r="BE444" s="60"/>
    </row>
    <row r="445" spans="1:57" s="301" customFormat="1">
      <c r="A445" s="57"/>
      <c r="B445" s="57"/>
      <c r="C445" s="57"/>
      <c r="D445" s="57"/>
      <c r="E445" s="57"/>
      <c r="F445" s="57"/>
      <c r="G445" s="57"/>
      <c r="H445" s="57"/>
      <c r="I445" s="300"/>
      <c r="J445" s="57"/>
      <c r="K445" s="57"/>
      <c r="L445" s="57"/>
      <c r="M445" s="57"/>
      <c r="N445" s="57"/>
      <c r="O445" s="57"/>
      <c r="P445" s="146"/>
      <c r="Q445" s="146"/>
      <c r="V445" s="302"/>
      <c r="W445" s="302"/>
      <c r="X445" s="302"/>
      <c r="Y445" s="302"/>
      <c r="Z445" s="302"/>
      <c r="AA445" s="302"/>
      <c r="AB445" s="56"/>
      <c r="AC445" s="302"/>
      <c r="AD445" s="302"/>
      <c r="AE445" s="302"/>
      <c r="AF445" s="302"/>
      <c r="AG445" s="302"/>
      <c r="AH445" s="302"/>
      <c r="AI445" s="302"/>
      <c r="AJ445" s="302"/>
      <c r="AK445" s="302"/>
      <c r="AL445" s="302"/>
      <c r="AM445" s="302"/>
      <c r="AN445" s="302"/>
      <c r="AO445" s="302"/>
      <c r="AP445" s="302"/>
      <c r="AX445" s="302"/>
      <c r="AY445" s="302"/>
      <c r="AZ445" s="302"/>
      <c r="BA445" s="302"/>
      <c r="BB445" s="302"/>
      <c r="BC445" s="302"/>
      <c r="BD445" s="302"/>
      <c r="BE445" s="60"/>
    </row>
    <row r="446" spans="1:57" s="301" customFormat="1">
      <c r="A446" s="57"/>
      <c r="B446" s="57"/>
      <c r="C446" s="57"/>
      <c r="D446" s="57"/>
      <c r="E446" s="57"/>
      <c r="F446" s="57"/>
      <c r="G446" s="57"/>
      <c r="H446" s="57"/>
      <c r="I446" s="300"/>
      <c r="J446" s="57"/>
      <c r="K446" s="57"/>
      <c r="L446" s="57"/>
      <c r="M446" s="57"/>
      <c r="N446" s="57"/>
      <c r="O446" s="57"/>
      <c r="P446" s="146"/>
      <c r="Q446" s="146"/>
      <c r="V446" s="302"/>
      <c r="W446" s="302"/>
      <c r="X446" s="302"/>
      <c r="Y446" s="302"/>
      <c r="Z446" s="302"/>
      <c r="AA446" s="302"/>
      <c r="AB446" s="56"/>
      <c r="AC446" s="302"/>
      <c r="AD446" s="302"/>
      <c r="AE446" s="302"/>
      <c r="AF446" s="302"/>
      <c r="AG446" s="302"/>
      <c r="AH446" s="302"/>
      <c r="AI446" s="302"/>
      <c r="AJ446" s="302"/>
      <c r="AK446" s="302"/>
      <c r="AL446" s="302"/>
      <c r="AM446" s="302"/>
      <c r="AN446" s="302"/>
      <c r="AO446" s="302"/>
      <c r="AP446" s="302"/>
      <c r="AX446" s="302"/>
      <c r="AY446" s="302"/>
      <c r="AZ446" s="302"/>
      <c r="BA446" s="302"/>
      <c r="BB446" s="302"/>
      <c r="BC446" s="302"/>
      <c r="BD446" s="302"/>
      <c r="BE446" s="60"/>
    </row>
    <row r="447" spans="1:57" s="301" customFormat="1">
      <c r="A447" s="57"/>
      <c r="B447" s="57"/>
      <c r="C447" s="57"/>
      <c r="D447" s="57"/>
      <c r="E447" s="57"/>
      <c r="F447" s="57"/>
      <c r="G447" s="57"/>
      <c r="H447" s="57"/>
      <c r="I447" s="300"/>
      <c r="J447" s="57"/>
      <c r="K447" s="57"/>
      <c r="L447" s="57"/>
      <c r="M447" s="57"/>
      <c r="N447" s="57"/>
      <c r="O447" s="57"/>
      <c r="P447" s="146"/>
      <c r="Q447" s="146"/>
      <c r="V447" s="302"/>
      <c r="W447" s="302"/>
      <c r="X447" s="302"/>
      <c r="Y447" s="302"/>
      <c r="Z447" s="302"/>
      <c r="AA447" s="302"/>
      <c r="AB447" s="56"/>
      <c r="AC447" s="302"/>
      <c r="AD447" s="302"/>
      <c r="AE447" s="302"/>
      <c r="AF447" s="302"/>
      <c r="AG447" s="302"/>
      <c r="AH447" s="302"/>
      <c r="AI447" s="302"/>
      <c r="AJ447" s="302"/>
      <c r="AK447" s="302"/>
      <c r="AL447" s="302"/>
      <c r="AM447" s="302"/>
      <c r="AN447" s="302"/>
      <c r="AO447" s="302"/>
      <c r="AP447" s="302"/>
      <c r="AX447" s="302"/>
      <c r="AY447" s="302"/>
      <c r="AZ447" s="302"/>
      <c r="BA447" s="302"/>
      <c r="BB447" s="302"/>
      <c r="BC447" s="302"/>
      <c r="BD447" s="302"/>
      <c r="BE447" s="60"/>
    </row>
    <row r="448" spans="1:57" s="301" customFormat="1">
      <c r="A448" s="57"/>
      <c r="B448" s="57"/>
      <c r="C448" s="57"/>
      <c r="D448" s="57"/>
      <c r="E448" s="57"/>
      <c r="F448" s="57"/>
      <c r="G448" s="57"/>
      <c r="H448" s="57"/>
      <c r="I448" s="300"/>
      <c r="J448" s="57"/>
      <c r="K448" s="57"/>
      <c r="L448" s="57"/>
      <c r="M448" s="57"/>
      <c r="N448" s="57"/>
      <c r="O448" s="57"/>
      <c r="P448" s="146"/>
      <c r="Q448" s="146"/>
      <c r="V448" s="302"/>
      <c r="W448" s="302"/>
      <c r="X448" s="302"/>
      <c r="Y448" s="302"/>
      <c r="Z448" s="302"/>
      <c r="AA448" s="302"/>
      <c r="AB448" s="56"/>
      <c r="AC448" s="302"/>
      <c r="AD448" s="302"/>
      <c r="AE448" s="302"/>
      <c r="AF448" s="302"/>
      <c r="AG448" s="302"/>
      <c r="AH448" s="302"/>
      <c r="AI448" s="302"/>
      <c r="AJ448" s="302"/>
      <c r="AK448" s="302"/>
      <c r="AL448" s="302"/>
      <c r="AM448" s="302"/>
      <c r="AN448" s="302"/>
      <c r="AO448" s="302"/>
      <c r="AP448" s="302"/>
      <c r="AX448" s="302"/>
      <c r="AY448" s="302"/>
      <c r="AZ448" s="302"/>
      <c r="BA448" s="302"/>
      <c r="BB448" s="302"/>
      <c r="BC448" s="302"/>
      <c r="BD448" s="302"/>
      <c r="BE448" s="60"/>
    </row>
    <row r="449" spans="1:57" s="301" customFormat="1">
      <c r="A449" s="57"/>
      <c r="B449" s="57"/>
      <c r="C449" s="57"/>
      <c r="D449" s="57"/>
      <c r="E449" s="57"/>
      <c r="F449" s="57"/>
      <c r="G449" s="57"/>
      <c r="H449" s="57"/>
      <c r="I449" s="300"/>
      <c r="J449" s="57"/>
      <c r="K449" s="57"/>
      <c r="L449" s="57"/>
      <c r="M449" s="57"/>
      <c r="N449" s="57"/>
      <c r="O449" s="57"/>
      <c r="P449" s="146"/>
      <c r="Q449" s="146"/>
      <c r="V449" s="302"/>
      <c r="W449" s="302"/>
      <c r="X449" s="302"/>
      <c r="Y449" s="302"/>
      <c r="Z449" s="302"/>
      <c r="AA449" s="302"/>
      <c r="AB449" s="56"/>
      <c r="AC449" s="302"/>
      <c r="AD449" s="302"/>
      <c r="AE449" s="302"/>
      <c r="AF449" s="302"/>
      <c r="AG449" s="302"/>
      <c r="AH449" s="302"/>
      <c r="AI449" s="302"/>
      <c r="AJ449" s="302"/>
      <c r="AK449" s="302"/>
      <c r="AL449" s="302"/>
      <c r="AM449" s="302"/>
      <c r="AN449" s="302"/>
      <c r="AO449" s="302"/>
      <c r="AP449" s="302"/>
      <c r="AX449" s="302"/>
      <c r="AY449" s="302"/>
      <c r="AZ449" s="302"/>
      <c r="BA449" s="302"/>
      <c r="BB449" s="302"/>
      <c r="BC449" s="302"/>
      <c r="BD449" s="302"/>
      <c r="BE449" s="60"/>
    </row>
    <row r="450" spans="1:57" s="301" customFormat="1">
      <c r="A450" s="57"/>
      <c r="B450" s="57"/>
      <c r="C450" s="57"/>
      <c r="D450" s="57"/>
      <c r="E450" s="57"/>
      <c r="F450" s="57"/>
      <c r="G450" s="57"/>
      <c r="H450" s="57"/>
      <c r="I450" s="300"/>
      <c r="J450" s="57"/>
      <c r="K450" s="57"/>
      <c r="L450" s="57"/>
      <c r="M450" s="57"/>
      <c r="N450" s="57"/>
      <c r="O450" s="57"/>
      <c r="P450" s="146"/>
      <c r="Q450" s="146"/>
      <c r="V450" s="302"/>
      <c r="W450" s="302"/>
      <c r="X450" s="302"/>
      <c r="Y450" s="302"/>
      <c r="Z450" s="302"/>
      <c r="AA450" s="302"/>
      <c r="AB450" s="56"/>
      <c r="AC450" s="302"/>
      <c r="AD450" s="302"/>
      <c r="AE450" s="302"/>
      <c r="AF450" s="302"/>
      <c r="AG450" s="302"/>
      <c r="AH450" s="302"/>
      <c r="AI450" s="302"/>
      <c r="AJ450" s="302"/>
      <c r="AK450" s="302"/>
      <c r="AL450" s="302"/>
      <c r="AM450" s="302"/>
      <c r="AN450" s="302"/>
      <c r="AO450" s="302"/>
      <c r="AP450" s="302"/>
      <c r="AX450" s="302"/>
      <c r="AY450" s="302"/>
      <c r="AZ450" s="302"/>
      <c r="BA450" s="302"/>
      <c r="BB450" s="302"/>
      <c r="BC450" s="302"/>
      <c r="BD450" s="302"/>
      <c r="BE450" s="60"/>
    </row>
    <row r="451" spans="1:57" s="301" customFormat="1">
      <c r="A451" s="57"/>
      <c r="B451" s="57"/>
      <c r="C451" s="57"/>
      <c r="D451" s="57"/>
      <c r="E451" s="57"/>
      <c r="F451" s="57"/>
      <c r="G451" s="57"/>
      <c r="H451" s="57"/>
      <c r="I451" s="300"/>
      <c r="J451" s="57"/>
      <c r="K451" s="57"/>
      <c r="L451" s="57"/>
      <c r="M451" s="57"/>
      <c r="N451" s="57"/>
      <c r="O451" s="57"/>
      <c r="P451" s="146"/>
      <c r="Q451" s="146"/>
      <c r="V451" s="302"/>
      <c r="W451" s="302"/>
      <c r="X451" s="302"/>
      <c r="Y451" s="302"/>
      <c r="Z451" s="302"/>
      <c r="AA451" s="302"/>
      <c r="AB451" s="56"/>
      <c r="AC451" s="302"/>
      <c r="AD451" s="302"/>
      <c r="AE451" s="302"/>
      <c r="AF451" s="302"/>
      <c r="AG451" s="302"/>
      <c r="AH451" s="302"/>
      <c r="AI451" s="302"/>
      <c r="AJ451" s="302"/>
      <c r="AK451" s="302"/>
      <c r="AL451" s="302"/>
      <c r="AM451" s="302"/>
      <c r="AN451" s="302"/>
      <c r="AO451" s="302"/>
      <c r="AP451" s="302"/>
      <c r="AX451" s="302"/>
      <c r="AY451" s="302"/>
      <c r="AZ451" s="302"/>
      <c r="BA451" s="302"/>
      <c r="BB451" s="302"/>
      <c r="BC451" s="302"/>
      <c r="BD451" s="302"/>
      <c r="BE451" s="60"/>
    </row>
    <row r="452" spans="1:57" s="301" customFormat="1">
      <c r="A452" s="57"/>
      <c r="B452" s="57"/>
      <c r="C452" s="57"/>
      <c r="D452" s="57"/>
      <c r="E452" s="57"/>
      <c r="F452" s="57"/>
      <c r="G452" s="57"/>
      <c r="H452" s="57"/>
      <c r="I452" s="300"/>
      <c r="J452" s="57"/>
      <c r="K452" s="57"/>
      <c r="L452" s="57"/>
      <c r="M452" s="57"/>
      <c r="N452" s="57"/>
      <c r="O452" s="57"/>
      <c r="P452" s="146"/>
      <c r="Q452" s="146"/>
      <c r="V452" s="302"/>
      <c r="W452" s="302"/>
      <c r="X452" s="302"/>
      <c r="Y452" s="302"/>
      <c r="Z452" s="302"/>
      <c r="AA452" s="302"/>
      <c r="AB452" s="56"/>
      <c r="AC452" s="302"/>
      <c r="AD452" s="302"/>
      <c r="AE452" s="302"/>
      <c r="AF452" s="302"/>
      <c r="AG452" s="302"/>
      <c r="AH452" s="302"/>
      <c r="AI452" s="302"/>
      <c r="AJ452" s="302"/>
      <c r="AK452" s="302"/>
      <c r="AL452" s="302"/>
      <c r="AM452" s="302"/>
      <c r="AN452" s="302"/>
      <c r="AO452" s="302"/>
      <c r="AP452" s="302"/>
      <c r="AX452" s="302"/>
      <c r="AY452" s="302"/>
      <c r="AZ452" s="302"/>
      <c r="BA452" s="302"/>
      <c r="BB452" s="302"/>
      <c r="BC452" s="302"/>
      <c r="BD452" s="302"/>
      <c r="BE452" s="60"/>
    </row>
    <row r="453" spans="1:57" s="301" customFormat="1">
      <c r="A453" s="57"/>
      <c r="B453" s="57"/>
      <c r="C453" s="57"/>
      <c r="D453" s="57"/>
      <c r="E453" s="57"/>
      <c r="F453" s="57"/>
      <c r="G453" s="57"/>
      <c r="H453" s="57"/>
      <c r="I453" s="300"/>
      <c r="J453" s="57"/>
      <c r="K453" s="57"/>
      <c r="L453" s="57"/>
      <c r="M453" s="57"/>
      <c r="N453" s="57"/>
      <c r="O453" s="57"/>
      <c r="P453" s="146"/>
      <c r="Q453" s="146"/>
      <c r="V453" s="302"/>
      <c r="W453" s="302"/>
      <c r="X453" s="302"/>
      <c r="Y453" s="302"/>
      <c r="Z453" s="302"/>
      <c r="AA453" s="302"/>
      <c r="AB453" s="56"/>
      <c r="AC453" s="302"/>
      <c r="AD453" s="302"/>
      <c r="AE453" s="302"/>
      <c r="AF453" s="302"/>
      <c r="AG453" s="302"/>
      <c r="AH453" s="302"/>
      <c r="AI453" s="302"/>
      <c r="AJ453" s="302"/>
      <c r="AK453" s="302"/>
      <c r="AL453" s="302"/>
      <c r="AM453" s="302"/>
      <c r="AN453" s="302"/>
      <c r="AO453" s="302"/>
      <c r="AP453" s="302"/>
      <c r="AX453" s="302"/>
      <c r="AY453" s="302"/>
      <c r="AZ453" s="302"/>
      <c r="BA453" s="302"/>
      <c r="BB453" s="302"/>
      <c r="BC453" s="302"/>
      <c r="BD453" s="302"/>
      <c r="BE453" s="60"/>
    </row>
    <row r="454" spans="1:57" s="301" customFormat="1">
      <c r="A454" s="57"/>
      <c r="B454" s="57"/>
      <c r="C454" s="57"/>
      <c r="D454" s="57"/>
      <c r="E454" s="57"/>
      <c r="F454" s="57"/>
      <c r="G454" s="57"/>
      <c r="H454" s="57"/>
      <c r="I454" s="300"/>
      <c r="J454" s="57"/>
      <c r="K454" s="57"/>
      <c r="L454" s="57"/>
      <c r="M454" s="57"/>
      <c r="N454" s="57"/>
      <c r="O454" s="57"/>
      <c r="P454" s="146"/>
      <c r="Q454" s="146"/>
      <c r="V454" s="302"/>
      <c r="W454" s="302"/>
      <c r="X454" s="302"/>
      <c r="Y454" s="302"/>
      <c r="Z454" s="302"/>
      <c r="AA454" s="302"/>
      <c r="AB454" s="56"/>
      <c r="AC454" s="302"/>
      <c r="AD454" s="302"/>
      <c r="AE454" s="302"/>
      <c r="AF454" s="302"/>
      <c r="AG454" s="302"/>
      <c r="AH454" s="302"/>
      <c r="AI454" s="302"/>
      <c r="AJ454" s="302"/>
      <c r="AK454" s="302"/>
      <c r="AL454" s="302"/>
      <c r="AM454" s="302"/>
      <c r="AN454" s="302"/>
      <c r="AO454" s="302"/>
      <c r="AP454" s="302"/>
      <c r="AX454" s="302"/>
      <c r="AY454" s="302"/>
      <c r="AZ454" s="302"/>
      <c r="BA454" s="302"/>
      <c r="BB454" s="302"/>
      <c r="BC454" s="302"/>
      <c r="BD454" s="302"/>
      <c r="BE454" s="60"/>
    </row>
    <row r="455" spans="1:57" s="301" customFormat="1">
      <c r="A455" s="57"/>
      <c r="B455" s="57"/>
      <c r="C455" s="57"/>
      <c r="D455" s="57"/>
      <c r="E455" s="57"/>
      <c r="F455" s="57"/>
      <c r="G455" s="57"/>
      <c r="H455" s="57"/>
      <c r="I455" s="300"/>
      <c r="J455" s="57"/>
      <c r="K455" s="57"/>
      <c r="L455" s="57"/>
      <c r="M455" s="57"/>
      <c r="N455" s="57"/>
      <c r="O455" s="57"/>
      <c r="P455" s="146"/>
      <c r="Q455" s="146"/>
      <c r="V455" s="302"/>
      <c r="W455" s="302"/>
      <c r="X455" s="302"/>
      <c r="Y455" s="302"/>
      <c r="Z455" s="302"/>
      <c r="AA455" s="302"/>
      <c r="AB455" s="56"/>
      <c r="AC455" s="302"/>
      <c r="AD455" s="302"/>
      <c r="AE455" s="302"/>
      <c r="AF455" s="302"/>
      <c r="AG455" s="302"/>
      <c r="AH455" s="302"/>
      <c r="AI455" s="302"/>
      <c r="AJ455" s="302"/>
      <c r="AK455" s="302"/>
      <c r="AL455" s="302"/>
      <c r="AM455" s="302"/>
      <c r="AN455" s="302"/>
      <c r="AO455" s="302"/>
      <c r="AP455" s="302"/>
      <c r="AX455" s="302"/>
      <c r="AY455" s="302"/>
      <c r="AZ455" s="302"/>
      <c r="BA455" s="302"/>
      <c r="BB455" s="302"/>
      <c r="BC455" s="302"/>
      <c r="BD455" s="302"/>
      <c r="BE455" s="60"/>
    </row>
    <row r="456" spans="1:57" s="301" customFormat="1">
      <c r="A456" s="57"/>
      <c r="B456" s="57"/>
      <c r="C456" s="57"/>
      <c r="D456" s="57"/>
      <c r="E456" s="57"/>
      <c r="F456" s="57"/>
      <c r="G456" s="57"/>
      <c r="H456" s="57"/>
      <c r="I456" s="300"/>
      <c r="J456" s="57"/>
      <c r="K456" s="57"/>
      <c r="L456" s="57"/>
      <c r="M456" s="57"/>
      <c r="N456" s="57"/>
      <c r="O456" s="57"/>
      <c r="P456" s="146"/>
      <c r="Q456" s="146"/>
      <c r="V456" s="302"/>
      <c r="W456" s="302"/>
      <c r="X456" s="302"/>
      <c r="Y456" s="302"/>
      <c r="Z456" s="302"/>
      <c r="AA456" s="302"/>
      <c r="AB456" s="56"/>
      <c r="AC456" s="302"/>
      <c r="AD456" s="302"/>
      <c r="AE456" s="302"/>
      <c r="AF456" s="302"/>
      <c r="AG456" s="302"/>
      <c r="AH456" s="302"/>
      <c r="AI456" s="302"/>
      <c r="AJ456" s="302"/>
      <c r="AK456" s="302"/>
      <c r="AL456" s="302"/>
      <c r="AM456" s="302"/>
      <c r="AN456" s="302"/>
      <c r="AO456" s="302"/>
      <c r="AP456" s="302"/>
      <c r="AX456" s="302"/>
      <c r="AY456" s="302"/>
      <c r="AZ456" s="302"/>
      <c r="BA456" s="302"/>
      <c r="BB456" s="302"/>
      <c r="BC456" s="302"/>
      <c r="BD456" s="302"/>
      <c r="BE456" s="60"/>
    </row>
    <row r="457" spans="1:57" s="301" customFormat="1">
      <c r="A457" s="57"/>
      <c r="B457" s="57"/>
      <c r="C457" s="57"/>
      <c r="D457" s="57"/>
      <c r="E457" s="57"/>
      <c r="F457" s="57"/>
      <c r="G457" s="57"/>
      <c r="H457" s="57"/>
      <c r="I457" s="300"/>
      <c r="J457" s="57"/>
      <c r="K457" s="57"/>
      <c r="L457" s="57"/>
      <c r="M457" s="57"/>
      <c r="N457" s="57"/>
      <c r="O457" s="57"/>
      <c r="P457" s="146"/>
      <c r="Q457" s="146"/>
      <c r="V457" s="302"/>
      <c r="W457" s="302"/>
      <c r="X457" s="302"/>
      <c r="Y457" s="302"/>
      <c r="Z457" s="302"/>
      <c r="AA457" s="302"/>
      <c r="AB457" s="56"/>
      <c r="AC457" s="302"/>
      <c r="AD457" s="302"/>
      <c r="AE457" s="302"/>
      <c r="AF457" s="302"/>
      <c r="AG457" s="302"/>
      <c r="AH457" s="302"/>
      <c r="AI457" s="302"/>
      <c r="AJ457" s="302"/>
      <c r="AK457" s="302"/>
      <c r="AL457" s="302"/>
      <c r="AM457" s="302"/>
      <c r="AN457" s="302"/>
      <c r="AO457" s="302"/>
      <c r="AP457" s="302"/>
      <c r="AX457" s="302"/>
      <c r="AY457" s="302"/>
      <c r="AZ457" s="302"/>
      <c r="BA457" s="302"/>
      <c r="BB457" s="302"/>
      <c r="BC457" s="302"/>
      <c r="BD457" s="302"/>
      <c r="BE457" s="60"/>
    </row>
    <row r="458" spans="1:57" s="301" customFormat="1">
      <c r="A458" s="57"/>
      <c r="B458" s="57"/>
      <c r="C458" s="57"/>
      <c r="D458" s="57"/>
      <c r="E458" s="57"/>
      <c r="F458" s="57"/>
      <c r="G458" s="57"/>
      <c r="H458" s="57"/>
      <c r="I458" s="300"/>
      <c r="J458" s="57"/>
      <c r="K458" s="57"/>
      <c r="L458" s="57"/>
      <c r="M458" s="57"/>
      <c r="N458" s="57"/>
      <c r="O458" s="57"/>
      <c r="P458" s="146"/>
      <c r="Q458" s="146"/>
      <c r="V458" s="302"/>
      <c r="W458" s="302"/>
      <c r="X458" s="302"/>
      <c r="Y458" s="302"/>
      <c r="Z458" s="302"/>
      <c r="AA458" s="302"/>
      <c r="AB458" s="56"/>
      <c r="AC458" s="302"/>
      <c r="AD458" s="302"/>
      <c r="AE458" s="302"/>
      <c r="AF458" s="302"/>
      <c r="AG458" s="302"/>
      <c r="AH458" s="302"/>
      <c r="AI458" s="302"/>
      <c r="AJ458" s="302"/>
      <c r="AK458" s="302"/>
      <c r="AL458" s="302"/>
      <c r="AM458" s="302"/>
      <c r="AN458" s="302"/>
      <c r="AO458" s="302"/>
      <c r="AP458" s="302"/>
      <c r="AX458" s="302"/>
      <c r="AY458" s="302"/>
      <c r="AZ458" s="302"/>
      <c r="BA458" s="302"/>
      <c r="BB458" s="302"/>
      <c r="BC458" s="302"/>
      <c r="BD458" s="302"/>
      <c r="BE458" s="60"/>
    </row>
    <row r="459" spans="1:57" s="301" customFormat="1">
      <c r="A459" s="57"/>
      <c r="B459" s="57"/>
      <c r="C459" s="57"/>
      <c r="D459" s="57"/>
      <c r="E459" s="57"/>
      <c r="F459" s="57"/>
      <c r="G459" s="57"/>
      <c r="H459" s="57"/>
      <c r="I459" s="300"/>
      <c r="J459" s="57"/>
      <c r="K459" s="57"/>
      <c r="L459" s="57"/>
      <c r="M459" s="57"/>
      <c r="N459" s="57"/>
      <c r="O459" s="57"/>
      <c r="P459" s="146"/>
      <c r="Q459" s="146"/>
      <c r="V459" s="302"/>
      <c r="W459" s="302"/>
      <c r="X459" s="302"/>
      <c r="Y459" s="302"/>
      <c r="Z459" s="302"/>
      <c r="AA459" s="302"/>
      <c r="AB459" s="56"/>
      <c r="AC459" s="302"/>
      <c r="AD459" s="302"/>
      <c r="AE459" s="302"/>
      <c r="AF459" s="302"/>
      <c r="AG459" s="302"/>
      <c r="AH459" s="302"/>
      <c r="AI459" s="302"/>
      <c r="AJ459" s="302"/>
      <c r="AK459" s="302"/>
      <c r="AL459" s="302"/>
      <c r="AM459" s="302"/>
      <c r="AN459" s="302"/>
      <c r="AO459" s="302"/>
      <c r="AP459" s="302"/>
      <c r="AX459" s="302"/>
      <c r="AY459" s="302"/>
      <c r="AZ459" s="302"/>
      <c r="BA459" s="302"/>
      <c r="BB459" s="302"/>
      <c r="BC459" s="302"/>
      <c r="BD459" s="302"/>
      <c r="BE459" s="60"/>
    </row>
    <row r="460" spans="1:57" s="301" customFormat="1">
      <c r="A460" s="57"/>
      <c r="B460" s="57"/>
      <c r="C460" s="57"/>
      <c r="D460" s="57"/>
      <c r="E460" s="57"/>
      <c r="F460" s="57"/>
      <c r="G460" s="57"/>
      <c r="H460" s="57"/>
      <c r="I460" s="300"/>
      <c r="J460" s="57"/>
      <c r="K460" s="57"/>
      <c r="L460" s="57"/>
      <c r="M460" s="57"/>
      <c r="N460" s="57"/>
      <c r="O460" s="57"/>
      <c r="P460" s="146"/>
      <c r="Q460" s="146"/>
      <c r="V460" s="302"/>
      <c r="W460" s="302"/>
      <c r="X460" s="302"/>
      <c r="Y460" s="302"/>
      <c r="Z460" s="302"/>
      <c r="AA460" s="302"/>
      <c r="AB460" s="56"/>
      <c r="AC460" s="302"/>
      <c r="AD460" s="302"/>
      <c r="AE460" s="302"/>
      <c r="AF460" s="302"/>
      <c r="AG460" s="302"/>
      <c r="AH460" s="302"/>
      <c r="AI460" s="302"/>
      <c r="AJ460" s="302"/>
      <c r="AK460" s="302"/>
      <c r="AL460" s="302"/>
      <c r="AM460" s="302"/>
      <c r="AN460" s="302"/>
      <c r="AO460" s="302"/>
      <c r="AP460" s="302"/>
      <c r="AX460" s="302"/>
      <c r="AY460" s="302"/>
      <c r="AZ460" s="302"/>
      <c r="BA460" s="302"/>
      <c r="BB460" s="302"/>
      <c r="BC460" s="302"/>
      <c r="BD460" s="302"/>
      <c r="BE460" s="60"/>
    </row>
    <row r="461" spans="1:57" s="301" customFormat="1">
      <c r="A461" s="57"/>
      <c r="B461" s="57"/>
      <c r="C461" s="57"/>
      <c r="D461" s="57"/>
      <c r="E461" s="57"/>
      <c r="F461" s="57"/>
      <c r="G461" s="57"/>
      <c r="H461" s="57"/>
      <c r="I461" s="300"/>
      <c r="J461" s="57"/>
      <c r="K461" s="57"/>
      <c r="L461" s="57"/>
      <c r="M461" s="57"/>
      <c r="N461" s="57"/>
      <c r="O461" s="57"/>
      <c r="P461" s="146"/>
      <c r="Q461" s="146"/>
      <c r="V461" s="302"/>
      <c r="W461" s="302"/>
      <c r="X461" s="302"/>
      <c r="Y461" s="302"/>
      <c r="Z461" s="302"/>
      <c r="AA461" s="302"/>
      <c r="AB461" s="56"/>
      <c r="AC461" s="302"/>
      <c r="AD461" s="302"/>
      <c r="AE461" s="302"/>
      <c r="AF461" s="302"/>
      <c r="AG461" s="302"/>
      <c r="AH461" s="302"/>
      <c r="AI461" s="302"/>
      <c r="AJ461" s="302"/>
      <c r="AK461" s="302"/>
      <c r="AL461" s="302"/>
      <c r="AM461" s="302"/>
      <c r="AN461" s="302"/>
      <c r="AO461" s="302"/>
      <c r="AP461" s="302"/>
      <c r="AX461" s="302"/>
      <c r="AY461" s="302"/>
      <c r="AZ461" s="302"/>
      <c r="BA461" s="302"/>
      <c r="BB461" s="302"/>
      <c r="BC461" s="302"/>
      <c r="BD461" s="302"/>
      <c r="BE461" s="60"/>
    </row>
    <row r="462" spans="1:57" s="301" customFormat="1">
      <c r="A462" s="57"/>
      <c r="B462" s="57"/>
      <c r="C462" s="57"/>
      <c r="D462" s="57"/>
      <c r="E462" s="57"/>
      <c r="F462" s="57"/>
      <c r="G462" s="57"/>
      <c r="H462" s="57"/>
      <c r="I462" s="300"/>
      <c r="J462" s="57"/>
      <c r="K462" s="57"/>
      <c r="L462" s="57"/>
      <c r="M462" s="57"/>
      <c r="N462" s="57"/>
      <c r="O462" s="57"/>
      <c r="P462" s="146"/>
      <c r="Q462" s="146"/>
      <c r="V462" s="302"/>
      <c r="W462" s="302"/>
      <c r="X462" s="302"/>
      <c r="Y462" s="302"/>
      <c r="Z462" s="302"/>
      <c r="AA462" s="302"/>
      <c r="AB462" s="56"/>
      <c r="AC462" s="302"/>
      <c r="AD462" s="302"/>
      <c r="AE462" s="302"/>
      <c r="AF462" s="302"/>
      <c r="AG462" s="302"/>
      <c r="AH462" s="302"/>
      <c r="AI462" s="302"/>
      <c r="AJ462" s="302"/>
      <c r="AK462" s="302"/>
      <c r="AL462" s="302"/>
      <c r="AM462" s="302"/>
      <c r="AN462" s="302"/>
      <c r="AO462" s="302"/>
      <c r="AP462" s="302"/>
      <c r="AX462" s="302"/>
      <c r="AY462" s="302"/>
      <c r="AZ462" s="302"/>
      <c r="BA462" s="302"/>
      <c r="BB462" s="302"/>
      <c r="BC462" s="302"/>
      <c r="BD462" s="302"/>
      <c r="BE462" s="60"/>
    </row>
    <row r="463" spans="1:57" s="301" customFormat="1">
      <c r="A463" s="57"/>
      <c r="B463" s="57"/>
      <c r="C463" s="57"/>
      <c r="D463" s="57"/>
      <c r="E463" s="57"/>
      <c r="F463" s="57"/>
      <c r="G463" s="57"/>
      <c r="H463" s="57"/>
      <c r="I463" s="300"/>
      <c r="J463" s="57"/>
      <c r="K463" s="57"/>
      <c r="L463" s="57"/>
      <c r="M463" s="57"/>
      <c r="N463" s="57"/>
      <c r="O463" s="57"/>
      <c r="P463" s="146"/>
      <c r="Q463" s="146"/>
      <c r="V463" s="302"/>
      <c r="W463" s="302"/>
      <c r="X463" s="302"/>
      <c r="Y463" s="302"/>
      <c r="Z463" s="302"/>
      <c r="AA463" s="302"/>
      <c r="AB463" s="56"/>
      <c r="AC463" s="302"/>
      <c r="AD463" s="302"/>
      <c r="AE463" s="302"/>
      <c r="AF463" s="302"/>
      <c r="AG463" s="302"/>
      <c r="AH463" s="302"/>
      <c r="AI463" s="302"/>
      <c r="AJ463" s="302"/>
      <c r="AK463" s="302"/>
      <c r="AL463" s="302"/>
      <c r="AM463" s="302"/>
      <c r="AN463" s="302"/>
      <c r="AO463" s="302"/>
      <c r="AP463" s="302"/>
      <c r="AX463" s="302"/>
      <c r="AY463" s="302"/>
      <c r="AZ463" s="302"/>
      <c r="BA463" s="302"/>
      <c r="BB463" s="302"/>
      <c r="BC463" s="302"/>
      <c r="BD463" s="302"/>
      <c r="BE463" s="60"/>
    </row>
    <row r="464" spans="1:57" s="301" customFormat="1">
      <c r="A464" s="57"/>
      <c r="B464" s="57"/>
      <c r="C464" s="57"/>
      <c r="D464" s="57"/>
      <c r="E464" s="57"/>
      <c r="F464" s="57"/>
      <c r="G464" s="57"/>
      <c r="H464" s="57"/>
      <c r="I464" s="300"/>
      <c r="J464" s="57"/>
      <c r="K464" s="57"/>
      <c r="L464" s="57"/>
      <c r="M464" s="57"/>
      <c r="N464" s="57"/>
      <c r="O464" s="57"/>
      <c r="P464" s="146"/>
      <c r="Q464" s="146"/>
      <c r="V464" s="302"/>
      <c r="W464" s="302"/>
      <c r="X464" s="302"/>
      <c r="Y464" s="302"/>
      <c r="Z464" s="302"/>
      <c r="AA464" s="302"/>
      <c r="AB464" s="56"/>
      <c r="AC464" s="302"/>
      <c r="AD464" s="302"/>
      <c r="AE464" s="302"/>
      <c r="AF464" s="302"/>
      <c r="AG464" s="302"/>
      <c r="AH464" s="302"/>
      <c r="AI464" s="302"/>
      <c r="AJ464" s="302"/>
      <c r="AK464" s="302"/>
      <c r="AL464" s="302"/>
      <c r="AM464" s="302"/>
      <c r="AN464" s="302"/>
      <c r="AO464" s="302"/>
      <c r="AP464" s="302"/>
      <c r="AX464" s="302"/>
      <c r="AY464" s="302"/>
      <c r="AZ464" s="302"/>
      <c r="BA464" s="302"/>
      <c r="BB464" s="302"/>
      <c r="BC464" s="302"/>
      <c r="BD464" s="302"/>
      <c r="BE464" s="60"/>
    </row>
    <row r="465" spans="1:57" s="301" customFormat="1">
      <c r="A465" s="57"/>
      <c r="B465" s="57"/>
      <c r="C465" s="57"/>
      <c r="D465" s="57"/>
      <c r="E465" s="57"/>
      <c r="F465" s="57"/>
      <c r="G465" s="57"/>
      <c r="H465" s="57"/>
      <c r="I465" s="300"/>
      <c r="J465" s="57"/>
      <c r="K465" s="57"/>
      <c r="L465" s="57"/>
      <c r="M465" s="57"/>
      <c r="N465" s="57"/>
      <c r="O465" s="57"/>
      <c r="P465" s="146"/>
      <c r="Q465" s="146"/>
      <c r="V465" s="302"/>
      <c r="W465" s="302"/>
      <c r="X465" s="302"/>
      <c r="Y465" s="302"/>
      <c r="Z465" s="302"/>
      <c r="AA465" s="302"/>
      <c r="AB465" s="56"/>
      <c r="AC465" s="302"/>
      <c r="AD465" s="302"/>
      <c r="AE465" s="302"/>
      <c r="AF465" s="302"/>
      <c r="AG465" s="302"/>
      <c r="AH465" s="302"/>
      <c r="AI465" s="302"/>
      <c r="AJ465" s="302"/>
      <c r="AK465" s="302"/>
      <c r="AL465" s="302"/>
      <c r="AM465" s="302"/>
      <c r="AN465" s="302"/>
      <c r="AO465" s="302"/>
      <c r="AP465" s="302"/>
      <c r="AX465" s="302"/>
      <c r="AY465" s="302"/>
      <c r="AZ465" s="302"/>
      <c r="BA465" s="302"/>
      <c r="BB465" s="302"/>
      <c r="BC465" s="302"/>
      <c r="BD465" s="302"/>
      <c r="BE465" s="60"/>
    </row>
    <row r="466" spans="1:57" s="301" customFormat="1">
      <c r="A466" s="57"/>
      <c r="B466" s="57"/>
      <c r="C466" s="57"/>
      <c r="D466" s="57"/>
      <c r="E466" s="57"/>
      <c r="F466" s="57"/>
      <c r="G466" s="57"/>
      <c r="H466" s="57"/>
      <c r="I466" s="300"/>
      <c r="J466" s="57"/>
      <c r="K466" s="57"/>
      <c r="L466" s="57"/>
      <c r="M466" s="57"/>
      <c r="N466" s="57"/>
      <c r="O466" s="57"/>
      <c r="P466" s="146"/>
      <c r="Q466" s="146"/>
      <c r="V466" s="302"/>
      <c r="W466" s="302"/>
      <c r="X466" s="302"/>
      <c r="Y466" s="302"/>
      <c r="Z466" s="302"/>
      <c r="AA466" s="302"/>
      <c r="AB466" s="56"/>
      <c r="AC466" s="302"/>
      <c r="AD466" s="302"/>
      <c r="AE466" s="302"/>
      <c r="AF466" s="302"/>
      <c r="AG466" s="302"/>
      <c r="AH466" s="302"/>
      <c r="AI466" s="302"/>
      <c r="AJ466" s="302"/>
      <c r="AK466" s="302"/>
      <c r="AL466" s="302"/>
      <c r="AM466" s="302"/>
      <c r="AN466" s="302"/>
      <c r="AO466" s="302"/>
      <c r="AP466" s="302"/>
      <c r="AX466" s="302"/>
      <c r="AY466" s="302"/>
      <c r="AZ466" s="302"/>
      <c r="BA466" s="302"/>
      <c r="BB466" s="302"/>
      <c r="BC466" s="302"/>
      <c r="BD466" s="302"/>
      <c r="BE466" s="60"/>
    </row>
    <row r="467" spans="1:57" s="301" customFormat="1">
      <c r="A467" s="57"/>
      <c r="B467" s="57"/>
      <c r="C467" s="57"/>
      <c r="D467" s="57"/>
      <c r="E467" s="57"/>
      <c r="F467" s="57"/>
      <c r="G467" s="57"/>
      <c r="H467" s="57"/>
      <c r="I467" s="300"/>
      <c r="J467" s="57"/>
      <c r="K467" s="57"/>
      <c r="L467" s="57"/>
      <c r="M467" s="57"/>
      <c r="N467" s="57"/>
      <c r="O467" s="57"/>
      <c r="P467" s="146"/>
      <c r="Q467" s="146"/>
      <c r="V467" s="302"/>
      <c r="W467" s="302"/>
      <c r="X467" s="302"/>
      <c r="Y467" s="302"/>
      <c r="Z467" s="302"/>
      <c r="AA467" s="302"/>
      <c r="AB467" s="56"/>
      <c r="AC467" s="302"/>
      <c r="AD467" s="302"/>
      <c r="AE467" s="302"/>
      <c r="AF467" s="302"/>
      <c r="AG467" s="302"/>
      <c r="AH467" s="302"/>
      <c r="AI467" s="302"/>
      <c r="AJ467" s="302"/>
      <c r="AK467" s="302"/>
      <c r="AL467" s="302"/>
      <c r="AM467" s="302"/>
      <c r="AN467" s="302"/>
      <c r="AO467" s="302"/>
      <c r="AP467" s="302"/>
      <c r="AX467" s="302"/>
      <c r="AY467" s="302"/>
      <c r="AZ467" s="302"/>
      <c r="BA467" s="302"/>
      <c r="BB467" s="302"/>
      <c r="BC467" s="302"/>
      <c r="BD467" s="302"/>
      <c r="BE467" s="60"/>
    </row>
    <row r="468" spans="1:57" s="301" customFormat="1">
      <c r="A468" s="57"/>
      <c r="B468" s="57"/>
      <c r="C468" s="57"/>
      <c r="D468" s="57"/>
      <c r="E468" s="57"/>
      <c r="F468" s="57"/>
      <c r="G468" s="57"/>
      <c r="H468" s="57"/>
      <c r="I468" s="300"/>
      <c r="J468" s="57"/>
      <c r="K468" s="57"/>
      <c r="L468" s="57"/>
      <c r="M468" s="57"/>
      <c r="N468" s="57"/>
      <c r="O468" s="57"/>
      <c r="P468" s="146"/>
      <c r="Q468" s="146"/>
      <c r="V468" s="302"/>
      <c r="W468" s="302"/>
      <c r="X468" s="302"/>
      <c r="Y468" s="302"/>
      <c r="Z468" s="302"/>
      <c r="AA468" s="302"/>
      <c r="AB468" s="56"/>
      <c r="AC468" s="302"/>
      <c r="AD468" s="302"/>
      <c r="AE468" s="302"/>
      <c r="AF468" s="302"/>
      <c r="AG468" s="302"/>
      <c r="AH468" s="302"/>
      <c r="AI468" s="302"/>
      <c r="AJ468" s="302"/>
      <c r="AK468" s="302"/>
      <c r="AL468" s="302"/>
      <c r="AM468" s="302"/>
      <c r="AN468" s="302"/>
      <c r="AO468" s="302"/>
      <c r="AP468" s="302"/>
      <c r="AX468" s="302"/>
      <c r="AY468" s="302"/>
      <c r="AZ468" s="302"/>
      <c r="BA468" s="302"/>
      <c r="BB468" s="302"/>
      <c r="BC468" s="302"/>
      <c r="BD468" s="302"/>
      <c r="BE468" s="60"/>
    </row>
    <row r="469" spans="1:57" s="301" customFormat="1">
      <c r="A469" s="57"/>
      <c r="B469" s="57"/>
      <c r="C469" s="57"/>
      <c r="D469" s="57"/>
      <c r="E469" s="57"/>
      <c r="F469" s="57"/>
      <c r="G469" s="57"/>
      <c r="H469" s="57"/>
      <c r="I469" s="300"/>
      <c r="J469" s="57"/>
      <c r="K469" s="57"/>
      <c r="L469" s="57"/>
      <c r="M469" s="57"/>
      <c r="N469" s="57"/>
      <c r="O469" s="57"/>
      <c r="P469" s="146"/>
      <c r="Q469" s="146"/>
      <c r="V469" s="302"/>
      <c r="W469" s="302"/>
      <c r="X469" s="302"/>
      <c r="Y469" s="302"/>
      <c r="Z469" s="302"/>
      <c r="AA469" s="302"/>
      <c r="AB469" s="56"/>
      <c r="AC469" s="302"/>
      <c r="AD469" s="302"/>
      <c r="AE469" s="302"/>
      <c r="AF469" s="302"/>
      <c r="AG469" s="302"/>
      <c r="AH469" s="302"/>
      <c r="AI469" s="302"/>
      <c r="AJ469" s="302"/>
      <c r="AK469" s="302"/>
      <c r="AL469" s="302"/>
      <c r="AM469" s="302"/>
      <c r="AN469" s="302"/>
      <c r="AO469" s="302"/>
      <c r="AP469" s="302"/>
      <c r="AX469" s="302"/>
      <c r="AY469" s="302"/>
      <c r="AZ469" s="302"/>
      <c r="BA469" s="302"/>
      <c r="BB469" s="302"/>
      <c r="BC469" s="302"/>
      <c r="BD469" s="302"/>
      <c r="BE469" s="60"/>
    </row>
    <row r="470" spans="1:57" s="301" customFormat="1">
      <c r="A470" s="57"/>
      <c r="B470" s="57"/>
      <c r="C470" s="57"/>
      <c r="D470" s="57"/>
      <c r="E470" s="57"/>
      <c r="F470" s="57"/>
      <c r="G470" s="57"/>
      <c r="H470" s="57"/>
      <c r="I470" s="300"/>
      <c r="J470" s="57"/>
      <c r="K470" s="57"/>
      <c r="L470" s="57"/>
      <c r="M470" s="57"/>
      <c r="N470" s="57"/>
      <c r="O470" s="57"/>
      <c r="P470" s="146"/>
      <c r="Q470" s="146"/>
      <c r="V470" s="302"/>
      <c r="W470" s="302"/>
      <c r="X470" s="302"/>
      <c r="Y470" s="302"/>
      <c r="Z470" s="302"/>
      <c r="AA470" s="302"/>
      <c r="AB470" s="56"/>
      <c r="AC470" s="302"/>
      <c r="AD470" s="302"/>
      <c r="AE470" s="302"/>
      <c r="AF470" s="302"/>
      <c r="AG470" s="302"/>
      <c r="AH470" s="302"/>
      <c r="AI470" s="302"/>
      <c r="AJ470" s="302"/>
      <c r="AK470" s="302"/>
      <c r="AL470" s="302"/>
      <c r="AM470" s="302"/>
      <c r="AN470" s="302"/>
      <c r="AO470" s="302"/>
      <c r="AP470" s="302"/>
      <c r="AX470" s="302"/>
      <c r="AY470" s="302"/>
      <c r="AZ470" s="302"/>
      <c r="BA470" s="302"/>
      <c r="BB470" s="302"/>
      <c r="BC470" s="302"/>
      <c r="BD470" s="302"/>
      <c r="BE470" s="60"/>
    </row>
    <row r="471" spans="1:57" s="301" customFormat="1">
      <c r="A471" s="57"/>
      <c r="B471" s="57"/>
      <c r="C471" s="57"/>
      <c r="D471" s="57"/>
      <c r="E471" s="57"/>
      <c r="F471" s="57"/>
      <c r="G471" s="57"/>
      <c r="H471" s="57"/>
      <c r="I471" s="300"/>
      <c r="J471" s="57"/>
      <c r="K471" s="57"/>
      <c r="L471" s="57"/>
      <c r="M471" s="57"/>
      <c r="N471" s="57"/>
      <c r="O471" s="57"/>
      <c r="P471" s="146"/>
      <c r="Q471" s="146"/>
      <c r="V471" s="302"/>
      <c r="W471" s="302"/>
      <c r="X471" s="302"/>
      <c r="Y471" s="302"/>
      <c r="Z471" s="302"/>
      <c r="AA471" s="302"/>
      <c r="AB471" s="56"/>
      <c r="AC471" s="302"/>
      <c r="AD471" s="302"/>
      <c r="AE471" s="302"/>
      <c r="AF471" s="302"/>
      <c r="AG471" s="302"/>
      <c r="AH471" s="302"/>
      <c r="AI471" s="302"/>
      <c r="AJ471" s="302"/>
      <c r="AK471" s="302"/>
      <c r="AL471" s="302"/>
      <c r="AM471" s="302"/>
      <c r="AN471" s="302"/>
      <c r="AO471" s="302"/>
      <c r="AP471" s="302"/>
      <c r="AX471" s="302"/>
      <c r="AY471" s="302"/>
      <c r="AZ471" s="302"/>
      <c r="BA471" s="302"/>
      <c r="BB471" s="302"/>
      <c r="BC471" s="302"/>
      <c r="BD471" s="302"/>
      <c r="BE471" s="60"/>
    </row>
    <row r="472" spans="1:57" s="301" customFormat="1">
      <c r="A472" s="57"/>
      <c r="B472" s="57"/>
      <c r="C472" s="57"/>
      <c r="D472" s="57"/>
      <c r="E472" s="57"/>
      <c r="F472" s="57"/>
      <c r="G472" s="57"/>
      <c r="H472" s="57"/>
      <c r="I472" s="300"/>
      <c r="J472" s="57"/>
      <c r="K472" s="57"/>
      <c r="L472" s="57"/>
      <c r="M472" s="57"/>
      <c r="N472" s="57"/>
      <c r="O472" s="57"/>
      <c r="P472" s="146"/>
      <c r="Q472" s="146"/>
      <c r="V472" s="302"/>
      <c r="W472" s="302"/>
      <c r="X472" s="302"/>
      <c r="Y472" s="302"/>
      <c r="Z472" s="302"/>
      <c r="AA472" s="302"/>
      <c r="AB472" s="56"/>
      <c r="AC472" s="302"/>
      <c r="AD472" s="302"/>
      <c r="AE472" s="302"/>
      <c r="AF472" s="302"/>
      <c r="AG472" s="302"/>
      <c r="AH472" s="302"/>
      <c r="AI472" s="302"/>
      <c r="AJ472" s="302"/>
      <c r="AK472" s="302"/>
      <c r="AL472" s="302"/>
      <c r="AM472" s="302"/>
      <c r="AN472" s="302"/>
      <c r="AO472" s="302"/>
      <c r="AP472" s="302"/>
      <c r="AX472" s="302"/>
      <c r="AY472" s="302"/>
      <c r="AZ472" s="302"/>
      <c r="BA472" s="302"/>
      <c r="BB472" s="302"/>
      <c r="BC472" s="302"/>
      <c r="BD472" s="302"/>
      <c r="BE472" s="60"/>
    </row>
    <row r="473" spans="1:57" s="301" customFormat="1">
      <c r="A473" s="57"/>
      <c r="B473" s="57"/>
      <c r="C473" s="57"/>
      <c r="D473" s="57"/>
      <c r="E473" s="57"/>
      <c r="F473" s="57"/>
      <c r="G473" s="57"/>
      <c r="H473" s="57"/>
      <c r="I473" s="300"/>
      <c r="J473" s="57"/>
      <c r="K473" s="57"/>
      <c r="L473" s="57"/>
      <c r="M473" s="57"/>
      <c r="N473" s="57"/>
      <c r="O473" s="57"/>
      <c r="P473" s="146"/>
      <c r="Q473" s="146"/>
      <c r="V473" s="302"/>
      <c r="W473" s="302"/>
      <c r="X473" s="302"/>
      <c r="Y473" s="302"/>
      <c r="Z473" s="302"/>
      <c r="AA473" s="302"/>
      <c r="AB473" s="56"/>
      <c r="AC473" s="302"/>
      <c r="AD473" s="302"/>
      <c r="AE473" s="302"/>
      <c r="AF473" s="302"/>
      <c r="AG473" s="302"/>
      <c r="AH473" s="302"/>
      <c r="AI473" s="302"/>
      <c r="AJ473" s="302"/>
      <c r="AK473" s="302"/>
      <c r="AL473" s="302"/>
      <c r="AM473" s="302"/>
      <c r="AN473" s="302"/>
      <c r="AO473" s="302"/>
      <c r="AP473" s="302"/>
      <c r="AX473" s="302"/>
      <c r="AY473" s="302"/>
      <c r="AZ473" s="302"/>
      <c r="BA473" s="302"/>
      <c r="BB473" s="302"/>
      <c r="BC473" s="302"/>
      <c r="BD473" s="302"/>
      <c r="BE473" s="60"/>
    </row>
    <row r="474" spans="1:57" s="301" customFormat="1">
      <c r="A474" s="57"/>
      <c r="B474" s="57"/>
      <c r="C474" s="57"/>
      <c r="D474" s="57"/>
      <c r="E474" s="57"/>
      <c r="F474" s="57"/>
      <c r="G474" s="57"/>
      <c r="H474" s="57"/>
      <c r="I474" s="300"/>
      <c r="J474" s="57"/>
      <c r="K474" s="57"/>
      <c r="L474" s="57"/>
      <c r="M474" s="57"/>
      <c r="N474" s="57"/>
      <c r="O474" s="57"/>
      <c r="P474" s="146"/>
      <c r="Q474" s="146"/>
      <c r="V474" s="302"/>
      <c r="W474" s="302"/>
      <c r="X474" s="302"/>
      <c r="Y474" s="302"/>
      <c r="Z474" s="302"/>
      <c r="AA474" s="302"/>
      <c r="AB474" s="56"/>
      <c r="AC474" s="302"/>
      <c r="AD474" s="302"/>
      <c r="AE474" s="302"/>
      <c r="AF474" s="302"/>
      <c r="AG474" s="302"/>
      <c r="AH474" s="302"/>
      <c r="AI474" s="302"/>
      <c r="AJ474" s="302"/>
      <c r="AK474" s="302"/>
      <c r="AL474" s="302"/>
      <c r="AM474" s="302"/>
      <c r="AN474" s="302"/>
      <c r="AO474" s="302"/>
      <c r="AP474" s="302"/>
      <c r="AX474" s="302"/>
      <c r="AY474" s="302"/>
      <c r="AZ474" s="302"/>
      <c r="BA474" s="302"/>
      <c r="BB474" s="302"/>
      <c r="BC474" s="302"/>
      <c r="BD474" s="302"/>
      <c r="BE474" s="60"/>
    </row>
    <row r="475" spans="1:57" s="301" customFormat="1">
      <c r="A475" s="57"/>
      <c r="B475" s="57"/>
      <c r="C475" s="57"/>
      <c r="D475" s="57"/>
      <c r="E475" s="57"/>
      <c r="F475" s="57"/>
      <c r="G475" s="57"/>
      <c r="H475" s="57"/>
      <c r="I475" s="300"/>
      <c r="J475" s="57"/>
      <c r="K475" s="57"/>
      <c r="L475" s="57"/>
      <c r="M475" s="57"/>
      <c r="N475" s="57"/>
      <c r="O475" s="57"/>
      <c r="P475" s="146"/>
      <c r="Q475" s="146"/>
      <c r="V475" s="302"/>
      <c r="W475" s="302"/>
      <c r="X475" s="302"/>
      <c r="Y475" s="302"/>
      <c r="Z475" s="302"/>
      <c r="AA475" s="302"/>
      <c r="AB475" s="56"/>
      <c r="AC475" s="302"/>
      <c r="AD475" s="302"/>
      <c r="AE475" s="302"/>
      <c r="AF475" s="302"/>
      <c r="AG475" s="302"/>
      <c r="AH475" s="302"/>
      <c r="AI475" s="302"/>
      <c r="AJ475" s="302"/>
      <c r="AK475" s="302"/>
      <c r="AL475" s="302"/>
      <c r="AM475" s="302"/>
      <c r="AN475" s="302"/>
      <c r="AO475" s="302"/>
      <c r="AP475" s="302"/>
      <c r="AX475" s="302"/>
      <c r="AY475" s="302"/>
      <c r="AZ475" s="302"/>
      <c r="BA475" s="302"/>
      <c r="BB475" s="302"/>
      <c r="BC475" s="302"/>
      <c r="BD475" s="302"/>
      <c r="BE475" s="60"/>
    </row>
    <row r="476" spans="1:57" s="301" customFormat="1">
      <c r="A476" s="57"/>
      <c r="B476" s="57"/>
      <c r="C476" s="57"/>
      <c r="D476" s="57"/>
      <c r="E476" s="57"/>
      <c r="F476" s="57"/>
      <c r="G476" s="57"/>
      <c r="H476" s="57"/>
      <c r="I476" s="300"/>
      <c r="J476" s="57"/>
      <c r="K476" s="57"/>
      <c r="L476" s="57"/>
      <c r="M476" s="57"/>
      <c r="N476" s="57"/>
      <c r="O476" s="57"/>
      <c r="P476" s="146"/>
      <c r="Q476" s="146"/>
      <c r="V476" s="302"/>
      <c r="W476" s="302"/>
      <c r="X476" s="302"/>
      <c r="Y476" s="302"/>
      <c r="Z476" s="302"/>
      <c r="AA476" s="302"/>
      <c r="AB476" s="56"/>
      <c r="AC476" s="302"/>
      <c r="AD476" s="302"/>
      <c r="AE476" s="302"/>
      <c r="AF476" s="302"/>
      <c r="AG476" s="302"/>
      <c r="AH476" s="302"/>
      <c r="AI476" s="302"/>
      <c r="AJ476" s="302"/>
      <c r="AK476" s="302"/>
      <c r="AL476" s="302"/>
      <c r="AM476" s="302"/>
      <c r="AN476" s="302"/>
      <c r="AO476" s="302"/>
      <c r="AP476" s="302"/>
      <c r="AX476" s="302"/>
      <c r="AY476" s="302"/>
      <c r="AZ476" s="302"/>
      <c r="BA476" s="302"/>
      <c r="BB476" s="302"/>
      <c r="BC476" s="302"/>
      <c r="BD476" s="302"/>
      <c r="BE476" s="60"/>
    </row>
    <row r="477" spans="1:57" s="301" customFormat="1">
      <c r="A477" s="57"/>
      <c r="B477" s="57"/>
      <c r="C477" s="57"/>
      <c r="D477" s="57"/>
      <c r="E477" s="57"/>
      <c r="F477" s="57"/>
      <c r="G477" s="57"/>
      <c r="H477" s="57"/>
      <c r="I477" s="300"/>
      <c r="J477" s="57"/>
      <c r="K477" s="57"/>
      <c r="L477" s="57"/>
      <c r="M477" s="57"/>
      <c r="N477" s="57"/>
      <c r="O477" s="57"/>
      <c r="P477" s="146"/>
      <c r="Q477" s="146"/>
      <c r="V477" s="302"/>
      <c r="W477" s="302"/>
      <c r="X477" s="302"/>
      <c r="Y477" s="302"/>
      <c r="Z477" s="302"/>
      <c r="AA477" s="302"/>
      <c r="AB477" s="56"/>
      <c r="AC477" s="302"/>
      <c r="AD477" s="302"/>
      <c r="AE477" s="302"/>
      <c r="AF477" s="302"/>
      <c r="AG477" s="302"/>
      <c r="AH477" s="302"/>
      <c r="AI477" s="302"/>
      <c r="AJ477" s="302"/>
      <c r="AK477" s="302"/>
      <c r="AL477" s="302"/>
      <c r="AM477" s="302"/>
      <c r="AN477" s="302"/>
      <c r="AO477" s="302"/>
      <c r="AP477" s="302"/>
      <c r="AX477" s="302"/>
      <c r="AY477" s="302"/>
      <c r="AZ477" s="302"/>
      <c r="BA477" s="302"/>
      <c r="BB477" s="302"/>
      <c r="BC477" s="302"/>
      <c r="BD477" s="302"/>
      <c r="BE477" s="60"/>
    </row>
    <row r="478" spans="1:57" s="301" customFormat="1">
      <c r="A478" s="57"/>
      <c r="B478" s="57"/>
      <c r="C478" s="57"/>
      <c r="D478" s="57"/>
      <c r="E478" s="57"/>
      <c r="F478" s="57"/>
      <c r="G478" s="57"/>
      <c r="H478" s="57"/>
      <c r="I478" s="300"/>
      <c r="J478" s="57"/>
      <c r="K478" s="57"/>
      <c r="L478" s="57"/>
      <c r="M478" s="57"/>
      <c r="N478" s="57"/>
      <c r="O478" s="57"/>
      <c r="P478" s="146"/>
      <c r="Q478" s="146"/>
      <c r="V478" s="302"/>
      <c r="W478" s="302"/>
      <c r="X478" s="302"/>
      <c r="Y478" s="302"/>
      <c r="Z478" s="302"/>
      <c r="AA478" s="302"/>
      <c r="AB478" s="56"/>
      <c r="AC478" s="302"/>
      <c r="AD478" s="302"/>
      <c r="AE478" s="302"/>
      <c r="AF478" s="302"/>
      <c r="AG478" s="302"/>
      <c r="AH478" s="302"/>
      <c r="AI478" s="302"/>
      <c r="AJ478" s="302"/>
      <c r="AK478" s="302"/>
      <c r="AL478" s="302"/>
      <c r="AM478" s="302"/>
      <c r="AN478" s="302"/>
      <c r="AO478" s="302"/>
      <c r="AP478" s="302"/>
      <c r="AX478" s="302"/>
      <c r="AY478" s="302"/>
      <c r="AZ478" s="302"/>
      <c r="BA478" s="302"/>
      <c r="BB478" s="302"/>
      <c r="BC478" s="302"/>
      <c r="BD478" s="302"/>
      <c r="BE478" s="60"/>
    </row>
    <row r="479" spans="1:57" s="301" customFormat="1">
      <c r="A479" s="57"/>
      <c r="B479" s="57"/>
      <c r="C479" s="57"/>
      <c r="D479" s="57"/>
      <c r="E479" s="57"/>
      <c r="F479" s="57"/>
      <c r="G479" s="57"/>
      <c r="H479" s="57"/>
      <c r="I479" s="300"/>
      <c r="J479" s="57"/>
      <c r="K479" s="57"/>
      <c r="L479" s="57"/>
      <c r="M479" s="57"/>
      <c r="N479" s="57"/>
      <c r="O479" s="57"/>
      <c r="P479" s="146"/>
      <c r="Q479" s="146"/>
      <c r="V479" s="302"/>
      <c r="W479" s="302"/>
      <c r="X479" s="302"/>
      <c r="Y479" s="302"/>
      <c r="Z479" s="302"/>
      <c r="AA479" s="302"/>
      <c r="AB479" s="56"/>
      <c r="AC479" s="302"/>
      <c r="AD479" s="302"/>
      <c r="AE479" s="302"/>
      <c r="AF479" s="302"/>
      <c r="AG479" s="302"/>
      <c r="AH479" s="302"/>
      <c r="AI479" s="302"/>
      <c r="AJ479" s="302"/>
      <c r="AK479" s="302"/>
      <c r="AL479" s="302"/>
      <c r="AM479" s="302"/>
      <c r="AN479" s="302"/>
      <c r="AO479" s="302"/>
      <c r="AP479" s="302"/>
      <c r="AX479" s="302"/>
      <c r="AY479" s="302"/>
      <c r="AZ479" s="302"/>
      <c r="BA479" s="302"/>
      <c r="BB479" s="302"/>
      <c r="BC479" s="302"/>
      <c r="BD479" s="302"/>
      <c r="BE479" s="60"/>
    </row>
    <row r="480" spans="1:57" s="301" customFormat="1">
      <c r="A480" s="57"/>
      <c r="B480" s="57"/>
      <c r="C480" s="57"/>
      <c r="D480" s="57"/>
      <c r="E480" s="57"/>
      <c r="F480" s="57"/>
      <c r="G480" s="57"/>
      <c r="H480" s="57"/>
      <c r="I480" s="300"/>
      <c r="J480" s="57"/>
      <c r="K480" s="57"/>
      <c r="L480" s="57"/>
      <c r="M480" s="57"/>
      <c r="N480" s="57"/>
      <c r="O480" s="57"/>
      <c r="P480" s="146"/>
      <c r="Q480" s="146"/>
      <c r="V480" s="302"/>
      <c r="W480" s="302"/>
      <c r="X480" s="302"/>
      <c r="Y480" s="302"/>
      <c r="Z480" s="302"/>
      <c r="AA480" s="302"/>
      <c r="AB480" s="56"/>
      <c r="AC480" s="302"/>
      <c r="AD480" s="302"/>
      <c r="AE480" s="302"/>
      <c r="AF480" s="302"/>
      <c r="AG480" s="302"/>
      <c r="AH480" s="302"/>
      <c r="AI480" s="302"/>
      <c r="AJ480" s="302"/>
      <c r="AK480" s="302"/>
      <c r="AL480" s="302"/>
      <c r="AM480" s="302"/>
      <c r="AN480" s="302"/>
      <c r="AO480" s="302"/>
      <c r="AP480" s="302"/>
      <c r="AX480" s="302"/>
      <c r="AY480" s="302"/>
      <c r="AZ480" s="302"/>
      <c r="BA480" s="302"/>
      <c r="BB480" s="302"/>
      <c r="BC480" s="302"/>
      <c r="BD480" s="302"/>
      <c r="BE480" s="60"/>
    </row>
    <row r="481" spans="1:57" s="301" customFormat="1">
      <c r="A481" s="57"/>
      <c r="B481" s="57"/>
      <c r="C481" s="57"/>
      <c r="D481" s="57"/>
      <c r="E481" s="57"/>
      <c r="F481" s="57"/>
      <c r="G481" s="57"/>
      <c r="H481" s="57"/>
      <c r="I481" s="300"/>
      <c r="J481" s="57"/>
      <c r="K481" s="57"/>
      <c r="L481" s="57"/>
      <c r="M481" s="57"/>
      <c r="N481" s="57"/>
      <c r="O481" s="57"/>
      <c r="P481" s="146"/>
      <c r="Q481" s="146"/>
      <c r="V481" s="302"/>
      <c r="W481" s="302"/>
      <c r="X481" s="302"/>
      <c r="Y481" s="302"/>
      <c r="Z481" s="302"/>
      <c r="AA481" s="302"/>
      <c r="AB481" s="56"/>
      <c r="AC481" s="302"/>
      <c r="AD481" s="302"/>
      <c r="AE481" s="302"/>
      <c r="AF481" s="302"/>
      <c r="AG481" s="302"/>
      <c r="AH481" s="302"/>
      <c r="AI481" s="302"/>
      <c r="AJ481" s="302"/>
      <c r="AK481" s="302"/>
      <c r="AL481" s="302"/>
      <c r="AM481" s="302"/>
      <c r="AN481" s="302"/>
      <c r="AO481" s="302"/>
      <c r="AP481" s="302"/>
      <c r="AX481" s="302"/>
      <c r="AY481" s="302"/>
      <c r="AZ481" s="302"/>
      <c r="BA481" s="302"/>
      <c r="BB481" s="302"/>
      <c r="BC481" s="302"/>
      <c r="BD481" s="302"/>
      <c r="BE481" s="60"/>
    </row>
    <row r="482" spans="1:57" s="301" customFormat="1">
      <c r="A482" s="57"/>
      <c r="B482" s="57"/>
      <c r="C482" s="57"/>
      <c r="D482" s="57"/>
      <c r="E482" s="57"/>
      <c r="F482" s="57"/>
      <c r="G482" s="57"/>
      <c r="H482" s="57"/>
      <c r="I482" s="300"/>
      <c r="J482" s="57"/>
      <c r="K482" s="57"/>
      <c r="L482" s="57"/>
      <c r="M482" s="57"/>
      <c r="N482" s="57"/>
      <c r="O482" s="57"/>
      <c r="P482" s="146"/>
      <c r="Q482" s="146"/>
      <c r="V482" s="302"/>
      <c r="W482" s="302"/>
      <c r="X482" s="302"/>
      <c r="Y482" s="302"/>
      <c r="Z482" s="302"/>
      <c r="AA482" s="302"/>
      <c r="AB482" s="56"/>
      <c r="AC482" s="302"/>
      <c r="AD482" s="302"/>
      <c r="AE482" s="302"/>
      <c r="AF482" s="302"/>
      <c r="AG482" s="302"/>
      <c r="AH482" s="302"/>
      <c r="AI482" s="302"/>
      <c r="AJ482" s="302"/>
      <c r="AK482" s="302"/>
      <c r="AL482" s="302"/>
      <c r="AM482" s="302"/>
      <c r="AN482" s="302"/>
      <c r="AO482" s="302"/>
      <c r="AP482" s="302"/>
      <c r="AX482" s="302"/>
      <c r="AY482" s="302"/>
      <c r="AZ482" s="302"/>
      <c r="BA482" s="302"/>
      <c r="BB482" s="302"/>
      <c r="BC482" s="302"/>
      <c r="BD482" s="302"/>
      <c r="BE482" s="60"/>
    </row>
    <row r="483" spans="1:57" s="301" customFormat="1">
      <c r="A483" s="57"/>
      <c r="B483" s="57"/>
      <c r="C483" s="57"/>
      <c r="D483" s="57"/>
      <c r="E483" s="57"/>
      <c r="F483" s="57"/>
      <c r="G483" s="57"/>
      <c r="H483" s="57"/>
      <c r="I483" s="300"/>
      <c r="J483" s="57"/>
      <c r="K483" s="57"/>
      <c r="L483" s="57"/>
      <c r="M483" s="57"/>
      <c r="N483" s="57"/>
      <c r="O483" s="57"/>
      <c r="P483" s="146"/>
      <c r="Q483" s="146"/>
      <c r="V483" s="302"/>
      <c r="W483" s="302"/>
      <c r="X483" s="302"/>
      <c r="Y483" s="302"/>
      <c r="Z483" s="302"/>
      <c r="AA483" s="302"/>
      <c r="AB483" s="56"/>
      <c r="AC483" s="302"/>
      <c r="AD483" s="302"/>
      <c r="AE483" s="302"/>
      <c r="AF483" s="302"/>
      <c r="AG483" s="302"/>
      <c r="AH483" s="302"/>
      <c r="AI483" s="302"/>
      <c r="AJ483" s="302"/>
      <c r="AK483" s="302"/>
      <c r="AL483" s="302"/>
      <c r="AM483" s="302"/>
      <c r="AN483" s="302"/>
      <c r="AO483" s="302"/>
      <c r="AP483" s="302"/>
      <c r="AX483" s="302"/>
      <c r="AY483" s="302"/>
      <c r="AZ483" s="302"/>
      <c r="BA483" s="302"/>
      <c r="BB483" s="302"/>
      <c r="BC483" s="302"/>
      <c r="BD483" s="302"/>
      <c r="BE483" s="60"/>
    </row>
    <row r="484" spans="1:57" s="301" customFormat="1">
      <c r="A484" s="57"/>
      <c r="B484" s="57"/>
      <c r="C484" s="57"/>
      <c r="D484" s="57"/>
      <c r="E484" s="57"/>
      <c r="F484" s="57"/>
      <c r="G484" s="57"/>
      <c r="H484" s="57"/>
      <c r="I484" s="300"/>
      <c r="J484" s="57"/>
      <c r="K484" s="57"/>
      <c r="L484" s="57"/>
      <c r="M484" s="57"/>
      <c r="N484" s="57"/>
      <c r="O484" s="57"/>
      <c r="P484" s="146"/>
      <c r="Q484" s="146"/>
      <c r="V484" s="302"/>
      <c r="W484" s="302"/>
      <c r="X484" s="302"/>
      <c r="Y484" s="302"/>
      <c r="Z484" s="302"/>
      <c r="AA484" s="302"/>
      <c r="AB484" s="56"/>
      <c r="AC484" s="302"/>
      <c r="AD484" s="302"/>
      <c r="AE484" s="302"/>
      <c r="AF484" s="302"/>
      <c r="AG484" s="302"/>
      <c r="AH484" s="302"/>
      <c r="AI484" s="302"/>
      <c r="AJ484" s="302"/>
      <c r="AK484" s="302"/>
      <c r="AL484" s="302"/>
      <c r="AM484" s="302"/>
      <c r="AN484" s="302"/>
      <c r="AO484" s="302"/>
      <c r="AP484" s="302"/>
      <c r="AX484" s="302"/>
      <c r="AY484" s="302"/>
      <c r="AZ484" s="302"/>
      <c r="BA484" s="302"/>
      <c r="BB484" s="302"/>
      <c r="BC484" s="302"/>
      <c r="BD484" s="302"/>
      <c r="BE484" s="60"/>
    </row>
    <row r="485" spans="1:57" s="301" customFormat="1">
      <c r="A485" s="57"/>
      <c r="B485" s="57"/>
      <c r="C485" s="57"/>
      <c r="D485" s="57"/>
      <c r="E485" s="57"/>
      <c r="F485" s="57"/>
      <c r="G485" s="57"/>
      <c r="H485" s="57"/>
      <c r="I485" s="300"/>
      <c r="J485" s="57"/>
      <c r="K485" s="57"/>
      <c r="L485" s="57"/>
      <c r="M485" s="57"/>
      <c r="N485" s="57"/>
      <c r="O485" s="57"/>
      <c r="P485" s="146"/>
      <c r="Q485" s="146"/>
      <c r="V485" s="302"/>
      <c r="W485" s="302"/>
      <c r="X485" s="302"/>
      <c r="Y485" s="302"/>
      <c r="Z485" s="302"/>
      <c r="AA485" s="302"/>
      <c r="AB485" s="56"/>
      <c r="AC485" s="302"/>
      <c r="AD485" s="302"/>
      <c r="AE485" s="302"/>
      <c r="AF485" s="302"/>
      <c r="AG485" s="302"/>
      <c r="AH485" s="302"/>
      <c r="AI485" s="302"/>
      <c r="AJ485" s="302"/>
      <c r="AK485" s="302"/>
      <c r="AL485" s="302"/>
      <c r="AM485" s="302"/>
      <c r="AN485" s="302"/>
      <c r="AO485" s="302"/>
      <c r="AP485" s="302"/>
      <c r="AX485" s="302"/>
      <c r="AY485" s="302"/>
      <c r="AZ485" s="302"/>
      <c r="BA485" s="302"/>
      <c r="BB485" s="302"/>
      <c r="BC485" s="302"/>
      <c r="BD485" s="302"/>
      <c r="BE485" s="60"/>
    </row>
    <row r="486" spans="1:57" s="301" customFormat="1">
      <c r="A486" s="57"/>
      <c r="B486" s="57"/>
      <c r="C486" s="57"/>
      <c r="D486" s="57"/>
      <c r="E486" s="57"/>
      <c r="F486" s="57"/>
      <c r="G486" s="57"/>
      <c r="H486" s="57"/>
      <c r="I486" s="300"/>
      <c r="J486" s="57"/>
      <c r="K486" s="57"/>
      <c r="L486" s="57"/>
      <c r="M486" s="57"/>
      <c r="N486" s="57"/>
      <c r="O486" s="57"/>
      <c r="P486" s="146"/>
      <c r="Q486" s="146"/>
      <c r="V486" s="302"/>
      <c r="W486" s="302"/>
      <c r="X486" s="302"/>
      <c r="Y486" s="302"/>
      <c r="Z486" s="302"/>
      <c r="AA486" s="302"/>
      <c r="AB486" s="56"/>
      <c r="AC486" s="302"/>
      <c r="AD486" s="302"/>
      <c r="AE486" s="302"/>
      <c r="AF486" s="302"/>
      <c r="AG486" s="302"/>
      <c r="AH486" s="302"/>
      <c r="AI486" s="302"/>
      <c r="AJ486" s="302"/>
      <c r="AK486" s="302"/>
      <c r="AL486" s="302"/>
      <c r="AM486" s="302"/>
      <c r="AN486" s="302"/>
      <c r="AO486" s="302"/>
      <c r="AP486" s="302"/>
      <c r="AX486" s="302"/>
      <c r="AY486" s="302"/>
      <c r="AZ486" s="302"/>
      <c r="BA486" s="302"/>
      <c r="BB486" s="302"/>
      <c r="BC486" s="302"/>
      <c r="BD486" s="302"/>
      <c r="BE486" s="60"/>
    </row>
    <row r="487" spans="1:57" s="301" customFormat="1">
      <c r="A487" s="57"/>
      <c r="B487" s="57"/>
      <c r="C487" s="57"/>
      <c r="D487" s="57"/>
      <c r="E487" s="57"/>
      <c r="F487" s="57"/>
      <c r="G487" s="57"/>
      <c r="H487" s="57"/>
      <c r="I487" s="300"/>
      <c r="J487" s="57"/>
      <c r="K487" s="57"/>
      <c r="L487" s="57"/>
      <c r="M487" s="57"/>
      <c r="N487" s="57"/>
      <c r="O487" s="57"/>
      <c r="P487" s="146"/>
      <c r="Q487" s="146"/>
      <c r="V487" s="302"/>
      <c r="W487" s="302"/>
      <c r="X487" s="302"/>
      <c r="Y487" s="302"/>
      <c r="Z487" s="302"/>
      <c r="AA487" s="302"/>
      <c r="AB487" s="56"/>
      <c r="AC487" s="302"/>
      <c r="AD487" s="302"/>
      <c r="AE487" s="302"/>
      <c r="AF487" s="302"/>
      <c r="AG487" s="302"/>
      <c r="AH487" s="302"/>
      <c r="AI487" s="302"/>
      <c r="AJ487" s="302"/>
      <c r="AK487" s="302"/>
      <c r="AL487" s="302"/>
      <c r="AM487" s="302"/>
      <c r="AN487" s="302"/>
      <c r="AO487" s="302"/>
      <c r="AP487" s="302"/>
      <c r="AX487" s="302"/>
      <c r="AY487" s="302"/>
      <c r="AZ487" s="302"/>
      <c r="BA487" s="302"/>
      <c r="BB487" s="302"/>
      <c r="BC487" s="302"/>
      <c r="BD487" s="302"/>
      <c r="BE487" s="60"/>
    </row>
    <row r="488" spans="1:57" s="301" customFormat="1">
      <c r="A488" s="57"/>
      <c r="B488" s="57"/>
      <c r="C488" s="57"/>
      <c r="D488" s="57"/>
      <c r="E488" s="57"/>
      <c r="F488" s="57"/>
      <c r="G488" s="57"/>
      <c r="H488" s="57"/>
      <c r="I488" s="300"/>
      <c r="J488" s="57"/>
      <c r="K488" s="57"/>
      <c r="L488" s="57"/>
      <c r="M488" s="57"/>
      <c r="N488" s="57"/>
      <c r="O488" s="57"/>
      <c r="P488" s="146"/>
      <c r="Q488" s="146"/>
      <c r="V488" s="302"/>
      <c r="W488" s="302"/>
      <c r="X488" s="302"/>
      <c r="Y488" s="302"/>
      <c r="Z488" s="302"/>
      <c r="AA488" s="302"/>
      <c r="AB488" s="56"/>
      <c r="AC488" s="302"/>
      <c r="AD488" s="302"/>
      <c r="AE488" s="302"/>
      <c r="AF488" s="302"/>
      <c r="AG488" s="302"/>
      <c r="AH488" s="302"/>
      <c r="AI488" s="302"/>
      <c r="AJ488" s="302"/>
      <c r="AK488" s="302"/>
      <c r="AL488" s="302"/>
      <c r="AM488" s="302"/>
      <c r="AN488" s="302"/>
      <c r="AO488" s="302"/>
      <c r="AP488" s="302"/>
      <c r="AX488" s="302"/>
      <c r="AY488" s="302"/>
      <c r="AZ488" s="302"/>
      <c r="BA488" s="302"/>
      <c r="BB488" s="302"/>
      <c r="BC488" s="302"/>
      <c r="BD488" s="302"/>
      <c r="BE488" s="60"/>
    </row>
    <row r="489" spans="1:57" s="301" customFormat="1">
      <c r="A489" s="57"/>
      <c r="B489" s="57"/>
      <c r="C489" s="57"/>
      <c r="D489" s="57"/>
      <c r="E489" s="57"/>
      <c r="F489" s="57"/>
      <c r="G489" s="57"/>
      <c r="H489" s="57"/>
      <c r="I489" s="300"/>
      <c r="J489" s="57"/>
      <c r="K489" s="57"/>
      <c r="L489" s="57"/>
      <c r="M489" s="57"/>
      <c r="N489" s="57"/>
      <c r="O489" s="57"/>
      <c r="P489" s="146"/>
      <c r="Q489" s="146"/>
      <c r="V489" s="302"/>
      <c r="W489" s="302"/>
      <c r="X489" s="302"/>
      <c r="Y489" s="302"/>
      <c r="Z489" s="302"/>
      <c r="AA489" s="302"/>
      <c r="AB489" s="56"/>
      <c r="AC489" s="302"/>
      <c r="AD489" s="302"/>
      <c r="AE489" s="302"/>
      <c r="AF489" s="302"/>
      <c r="AG489" s="302"/>
      <c r="AH489" s="302"/>
      <c r="AI489" s="302"/>
      <c r="AJ489" s="302"/>
      <c r="AK489" s="302"/>
      <c r="AL489" s="302"/>
      <c r="AM489" s="302"/>
      <c r="AN489" s="302"/>
      <c r="AO489" s="302"/>
      <c r="AP489" s="302"/>
      <c r="AX489" s="302"/>
      <c r="AY489" s="302"/>
      <c r="AZ489" s="302"/>
      <c r="BA489" s="302"/>
      <c r="BB489" s="302"/>
      <c r="BC489" s="302"/>
      <c r="BD489" s="302"/>
      <c r="BE489" s="60"/>
    </row>
    <row r="490" spans="1:57" s="301" customFormat="1">
      <c r="A490" s="57"/>
      <c r="B490" s="57"/>
      <c r="C490" s="57"/>
      <c r="D490" s="57"/>
      <c r="E490" s="57"/>
      <c r="F490" s="57"/>
      <c r="G490" s="57"/>
      <c r="H490" s="57"/>
      <c r="I490" s="300"/>
      <c r="J490" s="57"/>
      <c r="K490" s="57"/>
      <c r="L490" s="57"/>
      <c r="M490" s="57"/>
      <c r="N490" s="57"/>
      <c r="O490" s="57"/>
      <c r="P490" s="146"/>
      <c r="Q490" s="146"/>
      <c r="V490" s="302"/>
      <c r="W490" s="302"/>
      <c r="X490" s="302"/>
      <c r="Y490" s="302"/>
      <c r="Z490" s="302"/>
      <c r="AA490" s="302"/>
      <c r="AB490" s="56"/>
      <c r="AC490" s="302"/>
      <c r="AD490" s="302"/>
      <c r="AE490" s="302"/>
      <c r="AF490" s="302"/>
      <c r="AG490" s="302"/>
      <c r="AH490" s="302"/>
      <c r="AI490" s="302"/>
      <c r="AJ490" s="302"/>
      <c r="AK490" s="302"/>
      <c r="AL490" s="302"/>
      <c r="AM490" s="302"/>
      <c r="AN490" s="302"/>
      <c r="AO490" s="302"/>
      <c r="AP490" s="302"/>
      <c r="AX490" s="302"/>
      <c r="AY490" s="302"/>
      <c r="AZ490" s="302"/>
      <c r="BA490" s="302"/>
      <c r="BB490" s="302"/>
      <c r="BC490" s="302"/>
      <c r="BD490" s="302"/>
      <c r="BE490" s="60"/>
    </row>
    <row r="491" spans="1:57" s="301" customFormat="1">
      <c r="A491" s="57"/>
      <c r="B491" s="57"/>
      <c r="C491" s="57"/>
      <c r="D491" s="57"/>
      <c r="E491" s="57"/>
      <c r="F491" s="57"/>
      <c r="G491" s="57"/>
      <c r="H491" s="57"/>
      <c r="I491" s="300"/>
      <c r="J491" s="57"/>
      <c r="K491" s="57"/>
      <c r="L491" s="57"/>
      <c r="M491" s="57"/>
      <c r="N491" s="57"/>
      <c r="O491" s="57"/>
      <c r="P491" s="146"/>
      <c r="Q491" s="146"/>
      <c r="V491" s="302"/>
      <c r="W491" s="302"/>
      <c r="X491" s="302"/>
      <c r="Y491" s="302"/>
      <c r="Z491" s="302"/>
      <c r="AA491" s="302"/>
      <c r="AB491" s="56"/>
      <c r="AC491" s="302"/>
      <c r="AD491" s="302"/>
      <c r="AE491" s="302"/>
      <c r="AF491" s="302"/>
      <c r="AG491" s="302"/>
      <c r="AH491" s="302"/>
      <c r="AI491" s="302"/>
      <c r="AJ491" s="302"/>
      <c r="AK491" s="302"/>
      <c r="AL491" s="302"/>
      <c r="AM491" s="302"/>
      <c r="AN491" s="302"/>
      <c r="AO491" s="302"/>
      <c r="AP491" s="302"/>
      <c r="AX491" s="302"/>
      <c r="AY491" s="302"/>
      <c r="AZ491" s="302"/>
      <c r="BA491" s="302"/>
      <c r="BB491" s="302"/>
      <c r="BC491" s="302"/>
      <c r="BD491" s="302"/>
      <c r="BE491" s="60"/>
    </row>
    <row r="492" spans="1:57" s="301" customFormat="1">
      <c r="A492" s="57"/>
      <c r="B492" s="57"/>
      <c r="C492" s="57"/>
      <c r="D492" s="57"/>
      <c r="E492" s="57"/>
      <c r="F492" s="57"/>
      <c r="G492" s="57"/>
      <c r="H492" s="57"/>
      <c r="I492" s="300"/>
      <c r="J492" s="57"/>
      <c r="K492" s="57"/>
      <c r="L492" s="57"/>
      <c r="M492" s="57"/>
      <c r="N492" s="57"/>
      <c r="O492" s="57"/>
      <c r="P492" s="146"/>
      <c r="Q492" s="146"/>
      <c r="V492" s="302"/>
      <c r="W492" s="302"/>
      <c r="X492" s="302"/>
      <c r="Y492" s="302"/>
      <c r="Z492" s="302"/>
      <c r="AA492" s="302"/>
      <c r="AB492" s="56"/>
      <c r="AC492" s="302"/>
      <c r="AD492" s="302"/>
      <c r="AE492" s="302"/>
      <c r="AF492" s="302"/>
      <c r="AG492" s="302"/>
      <c r="AH492" s="302"/>
      <c r="AI492" s="302"/>
      <c r="AJ492" s="302"/>
      <c r="AK492" s="302"/>
      <c r="AL492" s="302"/>
      <c r="AM492" s="302"/>
      <c r="AN492" s="302"/>
      <c r="AO492" s="302"/>
      <c r="AP492" s="302"/>
      <c r="AX492" s="302"/>
      <c r="AY492" s="302"/>
      <c r="AZ492" s="302"/>
      <c r="BA492" s="302"/>
      <c r="BB492" s="302"/>
      <c r="BC492" s="302"/>
      <c r="BD492" s="302"/>
      <c r="BE492" s="60"/>
    </row>
    <row r="493" spans="1:57" s="301" customFormat="1">
      <c r="A493" s="57"/>
      <c r="B493" s="57"/>
      <c r="C493" s="57"/>
      <c r="D493" s="57"/>
      <c r="E493" s="57"/>
      <c r="F493" s="57"/>
      <c r="G493" s="57"/>
      <c r="H493" s="57"/>
      <c r="I493" s="300"/>
      <c r="J493" s="57"/>
      <c r="K493" s="57"/>
      <c r="L493" s="57"/>
      <c r="M493" s="57"/>
      <c r="N493" s="57"/>
      <c r="O493" s="57"/>
      <c r="P493" s="146"/>
      <c r="Q493" s="146"/>
      <c r="V493" s="302"/>
      <c r="W493" s="302"/>
      <c r="X493" s="302"/>
      <c r="Y493" s="302"/>
      <c r="Z493" s="302"/>
      <c r="AA493" s="302"/>
      <c r="AB493" s="56"/>
      <c r="AC493" s="302"/>
      <c r="AD493" s="302"/>
      <c r="AE493" s="302"/>
      <c r="AF493" s="302"/>
      <c r="AG493" s="302"/>
      <c r="AH493" s="302"/>
      <c r="AI493" s="302"/>
      <c r="AJ493" s="302"/>
      <c r="AK493" s="302"/>
      <c r="AL493" s="302"/>
      <c r="AM493" s="302"/>
      <c r="AN493" s="302"/>
      <c r="AO493" s="302"/>
      <c r="AP493" s="302"/>
      <c r="AX493" s="302"/>
      <c r="AY493" s="302"/>
      <c r="AZ493" s="302"/>
      <c r="BA493" s="302"/>
      <c r="BB493" s="302"/>
      <c r="BC493" s="302"/>
      <c r="BD493" s="302"/>
      <c r="BE493" s="60"/>
    </row>
    <row r="494" spans="1:57" s="301" customFormat="1">
      <c r="A494" s="57"/>
      <c r="B494" s="57"/>
      <c r="C494" s="57"/>
      <c r="D494" s="57"/>
      <c r="E494" s="57"/>
      <c r="F494" s="57"/>
      <c r="G494" s="57"/>
      <c r="H494" s="57"/>
      <c r="I494" s="300"/>
      <c r="J494" s="57"/>
      <c r="K494" s="57"/>
      <c r="L494" s="57"/>
      <c r="M494" s="57"/>
      <c r="N494" s="57"/>
      <c r="O494" s="57"/>
      <c r="P494" s="146"/>
      <c r="Q494" s="146"/>
      <c r="V494" s="302"/>
      <c r="W494" s="302"/>
      <c r="X494" s="302"/>
      <c r="Y494" s="302"/>
      <c r="Z494" s="302"/>
      <c r="AA494" s="302"/>
      <c r="AB494" s="56"/>
      <c r="AC494" s="302"/>
      <c r="AD494" s="302"/>
      <c r="AE494" s="302"/>
      <c r="AF494" s="302"/>
      <c r="AG494" s="302"/>
      <c r="AH494" s="302"/>
      <c r="AI494" s="302"/>
      <c r="AJ494" s="302"/>
      <c r="AK494" s="302"/>
      <c r="AL494" s="302"/>
      <c r="AM494" s="302"/>
      <c r="AN494" s="302"/>
      <c r="AO494" s="302"/>
      <c r="AP494" s="302"/>
      <c r="AX494" s="302"/>
      <c r="AY494" s="302"/>
      <c r="AZ494" s="302"/>
      <c r="BA494" s="302"/>
      <c r="BB494" s="302"/>
      <c r="BC494" s="302"/>
      <c r="BD494" s="302"/>
      <c r="BE494" s="60"/>
    </row>
    <row r="495" spans="1:57" s="301" customFormat="1">
      <c r="A495" s="57"/>
      <c r="B495" s="57"/>
      <c r="C495" s="57"/>
      <c r="D495" s="57"/>
      <c r="E495" s="57"/>
      <c r="F495" s="57"/>
      <c r="G495" s="57"/>
      <c r="H495" s="57"/>
      <c r="I495" s="300"/>
      <c r="J495" s="57"/>
      <c r="K495" s="57"/>
      <c r="L495" s="57"/>
      <c r="M495" s="57"/>
      <c r="N495" s="57"/>
      <c r="O495" s="57"/>
      <c r="P495" s="146"/>
      <c r="Q495" s="146"/>
      <c r="V495" s="302"/>
      <c r="W495" s="302"/>
      <c r="X495" s="302"/>
      <c r="Y495" s="302"/>
      <c r="Z495" s="302"/>
      <c r="AA495" s="302"/>
      <c r="AB495" s="56"/>
      <c r="AC495" s="302"/>
      <c r="AD495" s="302"/>
      <c r="AE495" s="302"/>
      <c r="AF495" s="302"/>
      <c r="AG495" s="302"/>
      <c r="AH495" s="302"/>
      <c r="AI495" s="302"/>
      <c r="AJ495" s="302"/>
      <c r="AK495" s="302"/>
      <c r="AL495" s="302"/>
      <c r="AM495" s="302"/>
      <c r="AN495" s="302"/>
      <c r="AO495" s="302"/>
      <c r="AP495" s="302"/>
      <c r="AX495" s="302"/>
      <c r="AY495" s="302"/>
      <c r="AZ495" s="302"/>
      <c r="BA495" s="302"/>
      <c r="BB495" s="302"/>
      <c r="BC495" s="302"/>
      <c r="BD495" s="302"/>
      <c r="BE495" s="60"/>
    </row>
    <row r="496" spans="1:57" s="301" customFormat="1">
      <c r="A496" s="57"/>
      <c r="B496" s="57"/>
      <c r="C496" s="57"/>
      <c r="D496" s="57"/>
      <c r="E496" s="57"/>
      <c r="F496" s="57"/>
      <c r="G496" s="57"/>
      <c r="H496" s="57"/>
      <c r="I496" s="300"/>
      <c r="J496" s="57"/>
      <c r="K496" s="57"/>
      <c r="L496" s="57"/>
      <c r="M496" s="57"/>
      <c r="N496" s="57"/>
      <c r="O496" s="57"/>
      <c r="P496" s="146"/>
      <c r="Q496" s="146"/>
      <c r="V496" s="302"/>
      <c r="W496" s="302"/>
      <c r="X496" s="302"/>
      <c r="Y496" s="302"/>
      <c r="Z496" s="302"/>
      <c r="AA496" s="302"/>
      <c r="AB496" s="56"/>
      <c r="AC496" s="302"/>
      <c r="AD496" s="302"/>
      <c r="AE496" s="302"/>
      <c r="AF496" s="302"/>
      <c r="AG496" s="302"/>
      <c r="AH496" s="302"/>
      <c r="AI496" s="302"/>
      <c r="AJ496" s="302"/>
      <c r="AK496" s="302"/>
      <c r="AL496" s="302"/>
      <c r="AM496" s="302"/>
      <c r="AN496" s="302"/>
      <c r="AO496" s="302"/>
      <c r="AP496" s="302"/>
      <c r="AX496" s="302"/>
      <c r="AY496" s="302"/>
      <c r="AZ496" s="302"/>
      <c r="BA496" s="302"/>
      <c r="BB496" s="302"/>
      <c r="BC496" s="302"/>
      <c r="BD496" s="302"/>
      <c r="BE496" s="60"/>
    </row>
    <row r="497" spans="1:57" s="301" customFormat="1">
      <c r="A497" s="57"/>
      <c r="B497" s="57"/>
      <c r="C497" s="57"/>
      <c r="D497" s="57"/>
      <c r="E497" s="57"/>
      <c r="F497" s="57"/>
      <c r="G497" s="57"/>
      <c r="H497" s="57"/>
      <c r="I497" s="300"/>
      <c r="J497" s="57"/>
      <c r="K497" s="57"/>
      <c r="L497" s="57"/>
      <c r="M497" s="57"/>
      <c r="N497" s="57"/>
      <c r="O497" s="57"/>
      <c r="P497" s="146"/>
      <c r="Q497" s="146"/>
      <c r="V497" s="302"/>
      <c r="W497" s="302"/>
      <c r="X497" s="302"/>
      <c r="Y497" s="302"/>
      <c r="Z497" s="302"/>
      <c r="AA497" s="302"/>
      <c r="AB497" s="56"/>
      <c r="AC497" s="302"/>
      <c r="AD497" s="302"/>
      <c r="AE497" s="302"/>
      <c r="AF497" s="302"/>
      <c r="AG497" s="302"/>
      <c r="AH497" s="302"/>
      <c r="AI497" s="302"/>
      <c r="AJ497" s="302"/>
      <c r="AK497" s="302"/>
      <c r="AL497" s="302"/>
      <c r="AM497" s="302"/>
      <c r="AN497" s="302"/>
      <c r="AO497" s="302"/>
      <c r="AP497" s="302"/>
      <c r="AX497" s="302"/>
      <c r="AY497" s="302"/>
      <c r="AZ497" s="302"/>
      <c r="BA497" s="302"/>
      <c r="BB497" s="302"/>
      <c r="BC497" s="302"/>
      <c r="BD497" s="302"/>
      <c r="BE497" s="60"/>
    </row>
    <row r="498" spans="1:57" s="301" customFormat="1">
      <c r="A498" s="57"/>
      <c r="B498" s="57"/>
      <c r="C498" s="57"/>
      <c r="D498" s="57"/>
      <c r="E498" s="57"/>
      <c r="F498" s="57"/>
      <c r="G498" s="57"/>
      <c r="H498" s="57"/>
      <c r="I498" s="300"/>
      <c r="J498" s="57"/>
      <c r="K498" s="57"/>
      <c r="L498" s="57"/>
      <c r="M498" s="57"/>
      <c r="N498" s="57"/>
      <c r="O498" s="57"/>
      <c r="P498" s="146"/>
      <c r="Q498" s="146"/>
      <c r="V498" s="302"/>
      <c r="W498" s="302"/>
      <c r="X498" s="302"/>
      <c r="Y498" s="302"/>
      <c r="Z498" s="302"/>
      <c r="AA498" s="302"/>
      <c r="AB498" s="56"/>
      <c r="AC498" s="302"/>
      <c r="AD498" s="302"/>
      <c r="AE498" s="302"/>
      <c r="AF498" s="302"/>
      <c r="AG498" s="302"/>
      <c r="AH498" s="302"/>
      <c r="AI498" s="302"/>
      <c r="AJ498" s="302"/>
      <c r="AK498" s="302"/>
      <c r="AL498" s="302"/>
      <c r="AM498" s="302"/>
      <c r="AN498" s="302"/>
      <c r="AO498" s="302"/>
      <c r="AP498" s="302"/>
      <c r="AX498" s="302"/>
      <c r="AY498" s="302"/>
      <c r="AZ498" s="302"/>
      <c r="BA498" s="302"/>
      <c r="BB498" s="302"/>
      <c r="BC498" s="302"/>
      <c r="BD498" s="302"/>
      <c r="BE498" s="60"/>
    </row>
    <row r="499" spans="1:57" s="301" customFormat="1">
      <c r="A499" s="57"/>
      <c r="B499" s="57"/>
      <c r="C499" s="57"/>
      <c r="D499" s="57"/>
      <c r="E499" s="57"/>
      <c r="F499" s="57"/>
      <c r="G499" s="57"/>
      <c r="H499" s="57"/>
      <c r="I499" s="300"/>
      <c r="J499" s="57"/>
      <c r="K499" s="57"/>
      <c r="L499" s="57"/>
      <c r="M499" s="57"/>
      <c r="N499" s="57"/>
      <c r="O499" s="57"/>
      <c r="P499" s="146"/>
      <c r="Q499" s="146"/>
      <c r="V499" s="302"/>
      <c r="W499" s="302"/>
      <c r="X499" s="302"/>
      <c r="Y499" s="302"/>
      <c r="Z499" s="302"/>
      <c r="AA499" s="302"/>
      <c r="AB499" s="56"/>
      <c r="AC499" s="302"/>
      <c r="AD499" s="302"/>
      <c r="AE499" s="302"/>
      <c r="AF499" s="302"/>
      <c r="AG499" s="302"/>
      <c r="AH499" s="302"/>
      <c r="AI499" s="302"/>
      <c r="AJ499" s="302"/>
      <c r="AK499" s="302"/>
      <c r="AL499" s="302"/>
      <c r="AM499" s="302"/>
      <c r="AN499" s="302"/>
      <c r="AO499" s="302"/>
      <c r="AP499" s="302"/>
      <c r="AX499" s="302"/>
      <c r="AY499" s="302"/>
      <c r="AZ499" s="302"/>
      <c r="BA499" s="302"/>
      <c r="BB499" s="302"/>
      <c r="BC499" s="302"/>
      <c r="BD499" s="302"/>
      <c r="BE499" s="60"/>
    </row>
    <row r="500" spans="1:57" s="301" customFormat="1">
      <c r="A500" s="57"/>
      <c r="B500" s="57"/>
      <c r="C500" s="57"/>
      <c r="D500" s="57"/>
      <c r="E500" s="57"/>
      <c r="F500" s="57"/>
      <c r="G500" s="57"/>
      <c r="H500" s="57"/>
      <c r="I500" s="300"/>
      <c r="J500" s="57"/>
      <c r="K500" s="57"/>
      <c r="L500" s="57"/>
      <c r="M500" s="57"/>
      <c r="N500" s="57"/>
      <c r="O500" s="57"/>
      <c r="P500" s="146"/>
      <c r="Q500" s="146"/>
      <c r="V500" s="302"/>
      <c r="W500" s="302"/>
      <c r="X500" s="302"/>
      <c r="Y500" s="302"/>
      <c r="Z500" s="302"/>
      <c r="AA500" s="302"/>
      <c r="AB500" s="56"/>
      <c r="AC500" s="302"/>
      <c r="AD500" s="302"/>
      <c r="AE500" s="302"/>
      <c r="AF500" s="302"/>
      <c r="AG500" s="302"/>
      <c r="AH500" s="302"/>
      <c r="AI500" s="302"/>
      <c r="AJ500" s="302"/>
      <c r="AK500" s="302"/>
      <c r="AL500" s="302"/>
      <c r="AM500" s="302"/>
      <c r="AN500" s="302"/>
      <c r="AO500" s="302"/>
      <c r="AP500" s="302"/>
      <c r="AX500" s="302"/>
      <c r="AY500" s="302"/>
      <c r="AZ500" s="302"/>
      <c r="BA500" s="302"/>
      <c r="BB500" s="302"/>
      <c r="BC500" s="302"/>
      <c r="BD500" s="302"/>
      <c r="BE500" s="60"/>
    </row>
    <row r="501" spans="1:57" s="301" customFormat="1">
      <c r="A501" s="57"/>
      <c r="B501" s="57"/>
      <c r="C501" s="57"/>
      <c r="D501" s="57"/>
      <c r="E501" s="57"/>
      <c r="F501" s="57"/>
      <c r="G501" s="57"/>
      <c r="H501" s="57"/>
      <c r="I501" s="300"/>
      <c r="J501" s="57"/>
      <c r="K501" s="57"/>
      <c r="L501" s="57"/>
      <c r="M501" s="57"/>
      <c r="N501" s="57"/>
      <c r="O501" s="57"/>
      <c r="P501" s="146"/>
      <c r="Q501" s="146"/>
      <c r="V501" s="302"/>
      <c r="W501" s="302"/>
      <c r="X501" s="302"/>
      <c r="Y501" s="302"/>
      <c r="Z501" s="302"/>
      <c r="AA501" s="302"/>
      <c r="AB501" s="56"/>
      <c r="AC501" s="302"/>
      <c r="AD501" s="302"/>
      <c r="AE501" s="302"/>
      <c r="AF501" s="302"/>
      <c r="AG501" s="302"/>
      <c r="AH501" s="302"/>
      <c r="AI501" s="302"/>
      <c r="AJ501" s="302"/>
      <c r="AK501" s="302"/>
      <c r="AL501" s="302"/>
      <c r="AM501" s="302"/>
      <c r="AN501" s="302"/>
      <c r="AO501" s="302"/>
      <c r="AP501" s="302"/>
      <c r="AX501" s="302"/>
      <c r="AY501" s="302"/>
      <c r="AZ501" s="302"/>
      <c r="BA501" s="302"/>
      <c r="BB501" s="302"/>
      <c r="BC501" s="302"/>
      <c r="BD501" s="302"/>
      <c r="BE501" s="60"/>
    </row>
    <row r="502" spans="1:57" s="301" customFormat="1">
      <c r="A502" s="57"/>
      <c r="B502" s="57"/>
      <c r="C502" s="57"/>
      <c r="D502" s="57"/>
      <c r="E502" s="57"/>
      <c r="F502" s="57"/>
      <c r="G502" s="57"/>
      <c r="H502" s="57"/>
      <c r="I502" s="300"/>
      <c r="J502" s="57"/>
      <c r="K502" s="57"/>
      <c r="L502" s="57"/>
      <c r="M502" s="57"/>
      <c r="N502" s="57"/>
      <c r="O502" s="57"/>
      <c r="P502" s="146"/>
      <c r="Q502" s="146"/>
      <c r="V502" s="302"/>
      <c r="W502" s="302"/>
      <c r="X502" s="302"/>
      <c r="Y502" s="302"/>
      <c r="Z502" s="302"/>
      <c r="AA502" s="302"/>
      <c r="AB502" s="56"/>
      <c r="AC502" s="302"/>
      <c r="AD502" s="302"/>
      <c r="AE502" s="302"/>
      <c r="AF502" s="302"/>
      <c r="AG502" s="302"/>
      <c r="AH502" s="302"/>
      <c r="AI502" s="302"/>
      <c r="AJ502" s="302"/>
      <c r="AK502" s="302"/>
      <c r="AL502" s="302"/>
      <c r="AM502" s="302"/>
      <c r="AN502" s="302"/>
      <c r="AO502" s="302"/>
      <c r="AP502" s="302"/>
      <c r="AX502" s="302"/>
      <c r="AY502" s="302"/>
      <c r="AZ502" s="302"/>
      <c r="BA502" s="302"/>
      <c r="BB502" s="302"/>
      <c r="BC502" s="302"/>
      <c r="BD502" s="302"/>
      <c r="BE502" s="60"/>
    </row>
    <row r="503" spans="1:57" s="301" customFormat="1">
      <c r="A503" s="57"/>
      <c r="B503" s="57"/>
      <c r="C503" s="57"/>
      <c r="D503" s="57"/>
      <c r="E503" s="57"/>
      <c r="F503" s="57"/>
      <c r="G503" s="57"/>
      <c r="H503" s="57"/>
      <c r="I503" s="300"/>
      <c r="J503" s="57"/>
      <c r="K503" s="57"/>
      <c r="L503" s="57"/>
      <c r="M503" s="57"/>
      <c r="N503" s="57"/>
      <c r="O503" s="57"/>
      <c r="P503" s="146"/>
      <c r="Q503" s="146"/>
      <c r="V503" s="302"/>
      <c r="W503" s="302"/>
      <c r="X503" s="302"/>
      <c r="Y503" s="302"/>
      <c r="Z503" s="302"/>
      <c r="AA503" s="302"/>
      <c r="AB503" s="56"/>
      <c r="AC503" s="302"/>
      <c r="AD503" s="302"/>
      <c r="AE503" s="302"/>
      <c r="AF503" s="302"/>
      <c r="AG503" s="302"/>
      <c r="AH503" s="302"/>
      <c r="AI503" s="302"/>
      <c r="AJ503" s="302"/>
      <c r="AK503" s="302"/>
      <c r="AL503" s="302"/>
      <c r="AM503" s="302"/>
      <c r="AN503" s="302"/>
      <c r="AO503" s="302"/>
      <c r="AP503" s="302"/>
      <c r="AX503" s="302"/>
      <c r="AY503" s="302"/>
      <c r="AZ503" s="302"/>
      <c r="BA503" s="302"/>
      <c r="BB503" s="302"/>
      <c r="BC503" s="302"/>
      <c r="BD503" s="302"/>
      <c r="BE503" s="60"/>
    </row>
    <row r="504" spans="1:57" s="301" customFormat="1">
      <c r="A504" s="57"/>
      <c r="B504" s="57"/>
      <c r="C504" s="57"/>
      <c r="D504" s="57"/>
      <c r="E504" s="57"/>
      <c r="F504" s="57"/>
      <c r="G504" s="57"/>
      <c r="H504" s="57"/>
      <c r="I504" s="300"/>
      <c r="J504" s="57"/>
      <c r="K504" s="57"/>
      <c r="L504" s="57"/>
      <c r="M504" s="57"/>
      <c r="N504" s="57"/>
      <c r="O504" s="57"/>
      <c r="P504" s="146"/>
      <c r="Q504" s="146"/>
      <c r="V504" s="302"/>
      <c r="W504" s="302"/>
      <c r="X504" s="302"/>
      <c r="Y504" s="302"/>
      <c r="Z504" s="302"/>
      <c r="AA504" s="302"/>
      <c r="AB504" s="56"/>
      <c r="AC504" s="302"/>
      <c r="AD504" s="302"/>
      <c r="AE504" s="302"/>
      <c r="AF504" s="302"/>
      <c r="AG504" s="302"/>
      <c r="AH504" s="302"/>
      <c r="AI504" s="302"/>
      <c r="AJ504" s="302"/>
      <c r="AK504" s="302"/>
      <c r="AL504" s="302"/>
      <c r="AM504" s="302"/>
      <c r="AN504" s="302"/>
      <c r="AO504" s="302"/>
      <c r="AP504" s="302"/>
      <c r="AX504" s="302"/>
      <c r="AY504" s="302"/>
      <c r="AZ504" s="302"/>
      <c r="BA504" s="302"/>
      <c r="BB504" s="302"/>
      <c r="BC504" s="302"/>
      <c r="BD504" s="302"/>
      <c r="BE504" s="60"/>
    </row>
    <row r="505" spans="1:57" s="301" customFormat="1">
      <c r="A505" s="57"/>
      <c r="B505" s="57"/>
      <c r="C505" s="57"/>
      <c r="D505" s="57"/>
      <c r="E505" s="57"/>
      <c r="F505" s="57"/>
      <c r="G505" s="57"/>
      <c r="H505" s="57"/>
      <c r="I505" s="300"/>
      <c r="J505" s="57"/>
      <c r="K505" s="57"/>
      <c r="L505" s="57"/>
      <c r="M505" s="57"/>
      <c r="N505" s="57"/>
      <c r="O505" s="57"/>
      <c r="P505" s="146"/>
      <c r="Q505" s="146"/>
      <c r="V505" s="302"/>
      <c r="W505" s="302"/>
      <c r="X505" s="302"/>
      <c r="Y505" s="302"/>
      <c r="Z505" s="302"/>
      <c r="AA505" s="302"/>
      <c r="AB505" s="56"/>
      <c r="AC505" s="302"/>
      <c r="AD505" s="302"/>
      <c r="AE505" s="302"/>
      <c r="AF505" s="302"/>
      <c r="AG505" s="302"/>
      <c r="AH505" s="302"/>
      <c r="AI505" s="302"/>
      <c r="AJ505" s="302"/>
      <c r="AK505" s="302"/>
      <c r="AL505" s="302"/>
      <c r="AM505" s="302"/>
      <c r="AN505" s="302"/>
      <c r="AO505" s="302"/>
      <c r="AP505" s="302"/>
      <c r="AX505" s="302"/>
      <c r="AY505" s="302"/>
      <c r="AZ505" s="302"/>
      <c r="BA505" s="302"/>
      <c r="BB505" s="302"/>
      <c r="BC505" s="302"/>
      <c r="BD505" s="302"/>
      <c r="BE505" s="60"/>
    </row>
    <row r="506" spans="1:57" s="301" customFormat="1">
      <c r="A506" s="57"/>
      <c r="B506" s="57"/>
      <c r="C506" s="57"/>
      <c r="D506" s="57"/>
      <c r="E506" s="57"/>
      <c r="F506" s="57"/>
      <c r="G506" s="57"/>
      <c r="H506" s="57"/>
      <c r="I506" s="300"/>
      <c r="J506" s="57"/>
      <c r="K506" s="57"/>
      <c r="L506" s="57"/>
      <c r="M506" s="57"/>
      <c r="N506" s="57"/>
      <c r="O506" s="57"/>
      <c r="P506" s="146"/>
      <c r="Q506" s="146"/>
      <c r="V506" s="302"/>
      <c r="W506" s="302"/>
      <c r="X506" s="302"/>
      <c r="Y506" s="302"/>
      <c r="Z506" s="302"/>
      <c r="AA506" s="302"/>
      <c r="AB506" s="56"/>
      <c r="AC506" s="302"/>
      <c r="AD506" s="302"/>
      <c r="AE506" s="302"/>
      <c r="AF506" s="302"/>
      <c r="AG506" s="302"/>
      <c r="AH506" s="302"/>
      <c r="AI506" s="302"/>
      <c r="AJ506" s="302"/>
      <c r="AK506" s="302"/>
      <c r="AL506" s="302"/>
      <c r="AM506" s="302"/>
      <c r="AN506" s="302"/>
      <c r="AO506" s="302"/>
      <c r="AP506" s="302"/>
      <c r="AX506" s="302"/>
      <c r="AY506" s="302"/>
      <c r="AZ506" s="302"/>
      <c r="BA506" s="302"/>
      <c r="BB506" s="302"/>
      <c r="BC506" s="302"/>
      <c r="BD506" s="302"/>
      <c r="BE506" s="60"/>
    </row>
    <row r="507" spans="1:57" s="301" customFormat="1">
      <c r="A507" s="57"/>
      <c r="B507" s="57"/>
      <c r="C507" s="57"/>
      <c r="D507" s="57"/>
      <c r="E507" s="57"/>
      <c r="F507" s="57"/>
      <c r="G507" s="57"/>
      <c r="H507" s="57"/>
      <c r="I507" s="300"/>
      <c r="J507" s="57"/>
      <c r="K507" s="57"/>
      <c r="L507" s="57"/>
      <c r="M507" s="57"/>
      <c r="N507" s="57"/>
      <c r="O507" s="57"/>
      <c r="P507" s="146"/>
      <c r="Q507" s="146"/>
      <c r="V507" s="302"/>
      <c r="W507" s="302"/>
      <c r="X507" s="302"/>
      <c r="Y507" s="302"/>
      <c r="Z507" s="302"/>
      <c r="AA507" s="302"/>
      <c r="AB507" s="56"/>
      <c r="AC507" s="302"/>
      <c r="AD507" s="302"/>
      <c r="AE507" s="302"/>
      <c r="AF507" s="302"/>
      <c r="AG507" s="302"/>
      <c r="AH507" s="302"/>
      <c r="AI507" s="302"/>
      <c r="AJ507" s="302"/>
      <c r="AK507" s="302"/>
      <c r="AL507" s="302"/>
      <c r="AM507" s="302"/>
      <c r="AN507" s="302"/>
      <c r="AO507" s="302"/>
      <c r="AP507" s="302"/>
      <c r="AX507" s="302"/>
      <c r="AY507" s="302"/>
      <c r="AZ507" s="302"/>
      <c r="BA507" s="302"/>
      <c r="BB507" s="302"/>
      <c r="BC507" s="302"/>
      <c r="BD507" s="302"/>
      <c r="BE507" s="60"/>
    </row>
    <row r="508" spans="1:57" s="301" customFormat="1">
      <c r="A508" s="57"/>
      <c r="B508" s="57"/>
      <c r="C508" s="57"/>
      <c r="D508" s="57"/>
      <c r="E508" s="57"/>
      <c r="F508" s="57"/>
      <c r="G508" s="57"/>
      <c r="H508" s="57"/>
      <c r="I508" s="300"/>
      <c r="J508" s="57"/>
      <c r="K508" s="57"/>
      <c r="L508" s="57"/>
      <c r="M508" s="57"/>
      <c r="N508" s="57"/>
      <c r="O508" s="57"/>
      <c r="P508" s="146"/>
      <c r="Q508" s="146"/>
      <c r="V508" s="302"/>
      <c r="W508" s="302"/>
      <c r="X508" s="302"/>
      <c r="Y508" s="302"/>
      <c r="Z508" s="302"/>
      <c r="AA508" s="302"/>
      <c r="AB508" s="56"/>
      <c r="AC508" s="302"/>
      <c r="AD508" s="302"/>
      <c r="AE508" s="302"/>
      <c r="AF508" s="302"/>
      <c r="AG508" s="302"/>
      <c r="AH508" s="302"/>
      <c r="AI508" s="302"/>
      <c r="AJ508" s="302"/>
      <c r="AK508" s="302"/>
      <c r="AL508" s="302"/>
      <c r="AM508" s="302"/>
      <c r="AN508" s="302"/>
      <c r="AO508" s="302"/>
      <c r="AP508" s="302"/>
      <c r="AX508" s="302"/>
      <c r="AY508" s="302"/>
      <c r="AZ508" s="302"/>
      <c r="BA508" s="302"/>
      <c r="BB508" s="302"/>
      <c r="BC508" s="302"/>
      <c r="BD508" s="302"/>
      <c r="BE508" s="60"/>
    </row>
    <row r="509" spans="1:57" s="301" customFormat="1">
      <c r="A509" s="57"/>
      <c r="B509" s="57"/>
      <c r="C509" s="57"/>
      <c r="D509" s="57"/>
      <c r="E509" s="57"/>
      <c r="F509" s="57"/>
      <c r="G509" s="57"/>
      <c r="H509" s="57"/>
      <c r="I509" s="300"/>
      <c r="J509" s="57"/>
      <c r="K509" s="57"/>
      <c r="L509" s="57"/>
      <c r="M509" s="57"/>
      <c r="N509" s="57"/>
      <c r="O509" s="57"/>
      <c r="P509" s="146"/>
      <c r="Q509" s="146"/>
      <c r="V509" s="302"/>
      <c r="W509" s="302"/>
      <c r="X509" s="302"/>
      <c r="Y509" s="302"/>
      <c r="Z509" s="302"/>
      <c r="AA509" s="302"/>
      <c r="AB509" s="56"/>
      <c r="AC509" s="302"/>
      <c r="AD509" s="302"/>
      <c r="AE509" s="302"/>
      <c r="AF509" s="302"/>
      <c r="AG509" s="302"/>
      <c r="AH509" s="302"/>
      <c r="AI509" s="302"/>
      <c r="AJ509" s="302"/>
      <c r="AK509" s="302"/>
      <c r="AL509" s="302"/>
      <c r="AM509" s="302"/>
      <c r="AN509" s="302"/>
      <c r="AO509" s="302"/>
      <c r="AP509" s="302"/>
      <c r="AX509" s="302"/>
      <c r="AY509" s="302"/>
      <c r="AZ509" s="302"/>
      <c r="BA509" s="302"/>
      <c r="BB509" s="302"/>
      <c r="BC509" s="302"/>
      <c r="BD509" s="302"/>
      <c r="BE509" s="60"/>
    </row>
    <row r="510" spans="1:57" s="301" customFormat="1">
      <c r="A510" s="57"/>
      <c r="B510" s="57"/>
      <c r="C510" s="57"/>
      <c r="D510" s="57"/>
      <c r="E510" s="57"/>
      <c r="F510" s="57"/>
      <c r="G510" s="57"/>
      <c r="H510" s="57"/>
      <c r="I510" s="300"/>
      <c r="J510" s="57"/>
      <c r="K510" s="57"/>
      <c r="L510" s="57"/>
      <c r="M510" s="57"/>
      <c r="N510" s="57"/>
      <c r="O510" s="57"/>
      <c r="P510" s="146"/>
      <c r="Q510" s="146"/>
      <c r="V510" s="302"/>
      <c r="W510" s="302"/>
      <c r="X510" s="302"/>
      <c r="Y510" s="302"/>
      <c r="Z510" s="302"/>
      <c r="AA510" s="302"/>
      <c r="AB510" s="56"/>
      <c r="AC510" s="302"/>
      <c r="AD510" s="302"/>
      <c r="AE510" s="302"/>
      <c r="AF510" s="302"/>
      <c r="AG510" s="302"/>
      <c r="AH510" s="302"/>
      <c r="AI510" s="302"/>
      <c r="AJ510" s="302"/>
      <c r="AK510" s="302"/>
      <c r="AL510" s="302"/>
      <c r="AM510" s="302"/>
      <c r="AN510" s="302"/>
      <c r="AO510" s="302"/>
      <c r="AP510" s="302"/>
      <c r="AX510" s="302"/>
      <c r="AY510" s="302"/>
      <c r="AZ510" s="302"/>
      <c r="BA510" s="302"/>
      <c r="BB510" s="302"/>
      <c r="BC510" s="302"/>
      <c r="BD510" s="302"/>
      <c r="BE510" s="60"/>
    </row>
    <row r="511" spans="1:57" s="301" customFormat="1">
      <c r="A511" s="57"/>
      <c r="B511" s="57"/>
      <c r="C511" s="57"/>
      <c r="D511" s="57"/>
      <c r="E511" s="57"/>
      <c r="F511" s="57"/>
      <c r="G511" s="57"/>
      <c r="H511" s="57"/>
      <c r="I511" s="300"/>
      <c r="J511" s="57"/>
      <c r="K511" s="57"/>
      <c r="L511" s="57"/>
      <c r="M511" s="57"/>
      <c r="N511" s="57"/>
      <c r="O511" s="57"/>
      <c r="P511" s="146"/>
      <c r="Q511" s="146"/>
      <c r="V511" s="302"/>
      <c r="W511" s="302"/>
      <c r="X511" s="302"/>
      <c r="Y511" s="302"/>
      <c r="Z511" s="302"/>
      <c r="AA511" s="302"/>
      <c r="AB511" s="56"/>
      <c r="AC511" s="302"/>
      <c r="AD511" s="302"/>
      <c r="AE511" s="302"/>
      <c r="AF511" s="302"/>
      <c r="AG511" s="302"/>
      <c r="AH511" s="302"/>
      <c r="AI511" s="302"/>
      <c r="AJ511" s="302"/>
      <c r="AK511" s="302"/>
      <c r="AL511" s="302"/>
      <c r="AM511" s="302"/>
      <c r="AN511" s="302"/>
      <c r="AO511" s="302"/>
      <c r="AP511" s="302"/>
      <c r="AX511" s="302"/>
      <c r="AY511" s="302"/>
      <c r="AZ511" s="302"/>
      <c r="BA511" s="302"/>
      <c r="BB511" s="302"/>
      <c r="BC511" s="302"/>
      <c r="BD511" s="302"/>
      <c r="BE511" s="60"/>
    </row>
    <row r="512" spans="1:57" s="301" customFormat="1">
      <c r="A512" s="57"/>
      <c r="B512" s="57"/>
      <c r="C512" s="57"/>
      <c r="D512" s="57"/>
      <c r="E512" s="57"/>
      <c r="F512" s="57"/>
      <c r="G512" s="57"/>
      <c r="H512" s="57"/>
      <c r="I512" s="300"/>
      <c r="J512" s="57"/>
      <c r="K512" s="57"/>
      <c r="L512" s="57"/>
      <c r="M512" s="57"/>
      <c r="N512" s="57"/>
      <c r="O512" s="57"/>
      <c r="P512" s="146"/>
      <c r="Q512" s="146"/>
      <c r="V512" s="302"/>
      <c r="W512" s="302"/>
      <c r="X512" s="302"/>
      <c r="Y512" s="302"/>
      <c r="Z512" s="302"/>
      <c r="AA512" s="302"/>
      <c r="AB512" s="56"/>
      <c r="AC512" s="302"/>
      <c r="AD512" s="302"/>
      <c r="AE512" s="302"/>
      <c r="AF512" s="302"/>
      <c r="AG512" s="302"/>
      <c r="AH512" s="302"/>
      <c r="AI512" s="302"/>
      <c r="AJ512" s="302"/>
      <c r="AK512" s="302"/>
      <c r="AL512" s="302"/>
      <c r="AM512" s="302"/>
      <c r="AN512" s="302"/>
      <c r="AO512" s="302"/>
      <c r="AP512" s="302"/>
      <c r="AX512" s="302"/>
      <c r="AY512" s="302"/>
      <c r="AZ512" s="302"/>
      <c r="BA512" s="302"/>
      <c r="BB512" s="302"/>
      <c r="BC512" s="302"/>
      <c r="BD512" s="302"/>
      <c r="BE512" s="60"/>
    </row>
    <row r="513" spans="1:57" s="301" customFormat="1">
      <c r="A513" s="57"/>
      <c r="B513" s="57"/>
      <c r="C513" s="57"/>
      <c r="D513" s="57"/>
      <c r="E513" s="57"/>
      <c r="F513" s="57"/>
      <c r="G513" s="57"/>
      <c r="H513" s="57"/>
      <c r="I513" s="300"/>
      <c r="J513" s="57"/>
      <c r="K513" s="57"/>
      <c r="L513" s="57"/>
      <c r="M513" s="57"/>
      <c r="N513" s="57"/>
      <c r="O513" s="57"/>
      <c r="P513" s="146"/>
      <c r="Q513" s="146"/>
      <c r="V513" s="302"/>
      <c r="W513" s="302"/>
      <c r="X513" s="302"/>
      <c r="Y513" s="302"/>
      <c r="Z513" s="302"/>
      <c r="AA513" s="302"/>
      <c r="AB513" s="56"/>
      <c r="AC513" s="302"/>
      <c r="AD513" s="302"/>
      <c r="AE513" s="302"/>
      <c r="AF513" s="302"/>
      <c r="AG513" s="302"/>
      <c r="AH513" s="302"/>
      <c r="AI513" s="302"/>
      <c r="AJ513" s="302"/>
      <c r="AK513" s="302"/>
      <c r="AL513" s="302"/>
      <c r="AM513" s="302"/>
      <c r="AN513" s="302"/>
      <c r="AO513" s="302"/>
      <c r="AP513" s="302"/>
      <c r="AX513" s="302"/>
      <c r="AY513" s="302"/>
      <c r="AZ513" s="302"/>
      <c r="BA513" s="302"/>
      <c r="BB513" s="302"/>
      <c r="BC513" s="302"/>
      <c r="BD513" s="302"/>
      <c r="BE513" s="60"/>
    </row>
    <row r="514" spans="1:57" s="301" customFormat="1">
      <c r="A514" s="57"/>
      <c r="B514" s="57"/>
      <c r="C514" s="57"/>
      <c r="D514" s="57"/>
      <c r="E514" s="57"/>
      <c r="F514" s="57"/>
      <c r="G514" s="57"/>
      <c r="H514" s="57"/>
      <c r="I514" s="300"/>
      <c r="J514" s="57"/>
      <c r="K514" s="57"/>
      <c r="L514" s="57"/>
      <c r="M514" s="57"/>
      <c r="N514" s="57"/>
      <c r="O514" s="57"/>
      <c r="P514" s="146"/>
      <c r="Q514" s="146"/>
      <c r="V514" s="302"/>
      <c r="W514" s="302"/>
      <c r="X514" s="302"/>
      <c r="Y514" s="302"/>
      <c r="Z514" s="302"/>
      <c r="AA514" s="302"/>
      <c r="AB514" s="56"/>
      <c r="AC514" s="302"/>
      <c r="AD514" s="302"/>
      <c r="AE514" s="302"/>
      <c r="AF514" s="302"/>
      <c r="AG514" s="302"/>
      <c r="AH514" s="302"/>
      <c r="AI514" s="302"/>
      <c r="AJ514" s="302"/>
      <c r="AK514" s="302"/>
      <c r="AL514" s="302"/>
      <c r="AM514" s="302"/>
      <c r="AN514" s="302"/>
      <c r="AO514" s="302"/>
      <c r="AP514" s="302"/>
      <c r="AX514" s="302"/>
      <c r="AY514" s="302"/>
      <c r="AZ514" s="302"/>
      <c r="BA514" s="302"/>
      <c r="BB514" s="302"/>
      <c r="BC514" s="302"/>
      <c r="BD514" s="302"/>
      <c r="BE514" s="60"/>
    </row>
    <row r="515" spans="1:57" s="301" customFormat="1">
      <c r="A515" s="57"/>
      <c r="B515" s="57"/>
      <c r="C515" s="57"/>
      <c r="D515" s="57"/>
      <c r="E515" s="57"/>
      <c r="F515" s="57"/>
      <c r="G515" s="57"/>
      <c r="H515" s="57"/>
      <c r="I515" s="300"/>
      <c r="J515" s="57"/>
      <c r="K515" s="57"/>
      <c r="L515" s="57"/>
      <c r="M515" s="57"/>
      <c r="N515" s="57"/>
      <c r="O515" s="57"/>
      <c r="P515" s="146"/>
      <c r="Q515" s="146"/>
      <c r="V515" s="302"/>
      <c r="W515" s="302"/>
      <c r="X515" s="302"/>
      <c r="Y515" s="302"/>
      <c r="Z515" s="302"/>
      <c r="AA515" s="302"/>
      <c r="AB515" s="56"/>
      <c r="AC515" s="302"/>
      <c r="AD515" s="302"/>
      <c r="AE515" s="302"/>
      <c r="AF515" s="302"/>
      <c r="AG515" s="302"/>
      <c r="AH515" s="302"/>
      <c r="AI515" s="302"/>
      <c r="AJ515" s="302"/>
      <c r="AK515" s="302"/>
      <c r="AL515" s="302"/>
      <c r="AM515" s="302"/>
      <c r="AN515" s="302"/>
      <c r="AO515" s="302"/>
      <c r="AP515" s="302"/>
      <c r="AX515" s="302"/>
      <c r="AY515" s="302"/>
      <c r="AZ515" s="302"/>
      <c r="BA515" s="302"/>
      <c r="BB515" s="302"/>
      <c r="BC515" s="302"/>
      <c r="BD515" s="302"/>
      <c r="BE515" s="60"/>
    </row>
    <row r="516" spans="1:57" s="301" customFormat="1">
      <c r="A516" s="57"/>
      <c r="B516" s="57"/>
      <c r="C516" s="57"/>
      <c r="D516" s="57"/>
      <c r="E516" s="57"/>
      <c r="F516" s="57"/>
      <c r="G516" s="57"/>
      <c r="H516" s="57"/>
      <c r="I516" s="300"/>
      <c r="J516" s="57"/>
      <c r="K516" s="57"/>
      <c r="L516" s="57"/>
      <c r="M516" s="57"/>
      <c r="N516" s="57"/>
      <c r="O516" s="57"/>
      <c r="P516" s="146"/>
      <c r="Q516" s="146"/>
      <c r="V516" s="302"/>
      <c r="W516" s="302"/>
      <c r="X516" s="302"/>
      <c r="Y516" s="302"/>
      <c r="Z516" s="302"/>
      <c r="AA516" s="302"/>
      <c r="AB516" s="56"/>
      <c r="AC516" s="302"/>
      <c r="AD516" s="302"/>
      <c r="AE516" s="302"/>
      <c r="AF516" s="302"/>
      <c r="AG516" s="302"/>
      <c r="AH516" s="302"/>
      <c r="AI516" s="302"/>
      <c r="AJ516" s="302"/>
      <c r="AK516" s="302"/>
      <c r="AL516" s="302"/>
      <c r="AM516" s="302"/>
      <c r="AN516" s="302"/>
      <c r="AO516" s="302"/>
      <c r="AP516" s="302"/>
      <c r="AX516" s="302"/>
      <c r="AY516" s="302"/>
      <c r="AZ516" s="302"/>
      <c r="BA516" s="302"/>
      <c r="BB516" s="302"/>
      <c r="BC516" s="302"/>
      <c r="BD516" s="302"/>
      <c r="BE516" s="60"/>
    </row>
    <row r="517" spans="1:57" s="301" customFormat="1">
      <c r="A517" s="57"/>
      <c r="B517" s="57"/>
      <c r="C517" s="57"/>
      <c r="D517" s="57"/>
      <c r="E517" s="57"/>
      <c r="F517" s="57"/>
      <c r="G517" s="57"/>
      <c r="H517" s="57"/>
      <c r="I517" s="300"/>
      <c r="J517" s="57"/>
      <c r="K517" s="57"/>
      <c r="L517" s="57"/>
      <c r="M517" s="57"/>
      <c r="N517" s="57"/>
      <c r="O517" s="57"/>
      <c r="P517" s="146"/>
      <c r="Q517" s="146"/>
      <c r="V517" s="302"/>
      <c r="W517" s="302"/>
      <c r="X517" s="302"/>
      <c r="Y517" s="302"/>
      <c r="Z517" s="302"/>
      <c r="AA517" s="302"/>
      <c r="AB517" s="56"/>
      <c r="AC517" s="302"/>
      <c r="AD517" s="302"/>
      <c r="AE517" s="302"/>
      <c r="AF517" s="302"/>
      <c r="AG517" s="302"/>
      <c r="AH517" s="302"/>
      <c r="AI517" s="302"/>
      <c r="AJ517" s="302"/>
      <c r="AK517" s="302"/>
      <c r="AL517" s="302"/>
      <c r="AM517" s="302"/>
      <c r="AN517" s="302"/>
      <c r="AO517" s="302"/>
      <c r="AP517" s="302"/>
      <c r="AX517" s="302"/>
      <c r="AY517" s="302"/>
      <c r="AZ517" s="302"/>
      <c r="BA517" s="302"/>
      <c r="BB517" s="302"/>
      <c r="BC517" s="302"/>
      <c r="BD517" s="302"/>
      <c r="BE517" s="60"/>
    </row>
    <row r="518" spans="1:57" s="301" customFormat="1">
      <c r="A518" s="57"/>
      <c r="B518" s="57"/>
      <c r="C518" s="57"/>
      <c r="D518" s="57"/>
      <c r="E518" s="57"/>
      <c r="F518" s="57"/>
      <c r="G518" s="57"/>
      <c r="H518" s="57"/>
      <c r="I518" s="300"/>
      <c r="J518" s="57"/>
      <c r="K518" s="57"/>
      <c r="L518" s="57"/>
      <c r="M518" s="57"/>
      <c r="N518" s="57"/>
      <c r="O518" s="57"/>
      <c r="P518" s="146"/>
      <c r="Q518" s="146"/>
      <c r="V518" s="302"/>
      <c r="W518" s="302"/>
      <c r="X518" s="302"/>
      <c r="Y518" s="302"/>
      <c r="Z518" s="302"/>
      <c r="AA518" s="302"/>
      <c r="AB518" s="56"/>
      <c r="AC518" s="302"/>
      <c r="AD518" s="302"/>
      <c r="AE518" s="302"/>
      <c r="AF518" s="302"/>
      <c r="AG518" s="302"/>
      <c r="AH518" s="302"/>
      <c r="AI518" s="302"/>
      <c r="AJ518" s="302"/>
      <c r="AK518" s="302"/>
      <c r="AL518" s="302"/>
      <c r="AM518" s="302"/>
      <c r="AN518" s="302"/>
      <c r="AO518" s="302"/>
      <c r="AP518" s="302"/>
      <c r="AX518" s="302"/>
      <c r="AY518" s="302"/>
      <c r="AZ518" s="302"/>
      <c r="BA518" s="302"/>
      <c r="BB518" s="302"/>
      <c r="BC518" s="302"/>
      <c r="BD518" s="302"/>
      <c r="BE518" s="60"/>
    </row>
    <row r="519" spans="1:57" s="301" customFormat="1">
      <c r="A519" s="57"/>
      <c r="B519" s="57"/>
      <c r="C519" s="57"/>
      <c r="D519" s="57"/>
      <c r="E519" s="57"/>
      <c r="F519" s="57"/>
      <c r="G519" s="57"/>
      <c r="H519" s="57"/>
      <c r="I519" s="300"/>
      <c r="J519" s="57"/>
      <c r="K519" s="57"/>
      <c r="L519" s="57"/>
      <c r="M519" s="57"/>
      <c r="N519" s="57"/>
      <c r="O519" s="57"/>
      <c r="P519" s="146"/>
      <c r="Q519" s="146"/>
      <c r="V519" s="302"/>
      <c r="W519" s="302"/>
      <c r="X519" s="302"/>
      <c r="Y519" s="302"/>
      <c r="Z519" s="302"/>
      <c r="AA519" s="302"/>
      <c r="AB519" s="56"/>
      <c r="AC519" s="302"/>
      <c r="AD519" s="302"/>
      <c r="AE519" s="302"/>
      <c r="AF519" s="302"/>
      <c r="AG519" s="302"/>
      <c r="AH519" s="302"/>
      <c r="AI519" s="302"/>
      <c r="AJ519" s="302"/>
      <c r="AK519" s="302"/>
      <c r="AL519" s="302"/>
      <c r="AM519" s="302"/>
      <c r="AN519" s="302"/>
      <c r="AO519" s="302"/>
      <c r="AP519" s="302"/>
      <c r="AX519" s="302"/>
      <c r="AY519" s="302"/>
      <c r="AZ519" s="302"/>
      <c r="BA519" s="302"/>
      <c r="BB519" s="302"/>
      <c r="BC519" s="302"/>
      <c r="BD519" s="302"/>
      <c r="BE519" s="60"/>
    </row>
    <row r="520" spans="1:57" s="301" customFormat="1">
      <c r="A520" s="57"/>
      <c r="B520" s="57"/>
      <c r="C520" s="57"/>
      <c r="D520" s="57"/>
      <c r="E520" s="57"/>
      <c r="F520" s="57"/>
      <c r="G520" s="57"/>
      <c r="H520" s="57"/>
      <c r="I520" s="300"/>
      <c r="J520" s="57"/>
      <c r="K520" s="57"/>
      <c r="L520" s="57"/>
      <c r="M520" s="57"/>
      <c r="N520" s="57"/>
      <c r="O520" s="57"/>
      <c r="P520" s="146"/>
      <c r="Q520" s="146"/>
      <c r="V520" s="302"/>
      <c r="W520" s="302"/>
      <c r="X520" s="302"/>
      <c r="Y520" s="302"/>
      <c r="Z520" s="302"/>
      <c r="AA520" s="302"/>
      <c r="AB520" s="56"/>
      <c r="AC520" s="302"/>
      <c r="AD520" s="302"/>
      <c r="AE520" s="302"/>
      <c r="AF520" s="302"/>
      <c r="AG520" s="302"/>
      <c r="AH520" s="302"/>
      <c r="AI520" s="302"/>
      <c r="AJ520" s="302"/>
      <c r="AK520" s="302"/>
      <c r="AL520" s="302"/>
      <c r="AM520" s="302"/>
      <c r="AN520" s="302"/>
      <c r="AO520" s="302"/>
      <c r="AP520" s="302"/>
      <c r="AX520" s="302"/>
      <c r="AY520" s="302"/>
      <c r="AZ520" s="302"/>
      <c r="BA520" s="302"/>
      <c r="BB520" s="302"/>
      <c r="BC520" s="302"/>
      <c r="BD520" s="302"/>
      <c r="BE520" s="60"/>
    </row>
    <row r="521" spans="1:57" s="301" customFormat="1">
      <c r="A521" s="57"/>
      <c r="B521" s="57"/>
      <c r="C521" s="57"/>
      <c r="D521" s="57"/>
      <c r="E521" s="57"/>
      <c r="F521" s="57"/>
      <c r="G521" s="57"/>
      <c r="H521" s="57"/>
      <c r="I521" s="300"/>
      <c r="J521" s="57"/>
      <c r="K521" s="57"/>
      <c r="L521" s="57"/>
      <c r="M521" s="57"/>
      <c r="N521" s="57"/>
      <c r="O521" s="57"/>
      <c r="P521" s="146"/>
      <c r="Q521" s="146"/>
      <c r="V521" s="302"/>
      <c r="W521" s="302"/>
      <c r="X521" s="302"/>
      <c r="Y521" s="302"/>
      <c r="Z521" s="302"/>
      <c r="AA521" s="302"/>
      <c r="AB521" s="56"/>
      <c r="AC521" s="302"/>
      <c r="AD521" s="302"/>
      <c r="AE521" s="302"/>
      <c r="AF521" s="302"/>
      <c r="AG521" s="302"/>
      <c r="AH521" s="302"/>
      <c r="AI521" s="302"/>
      <c r="AJ521" s="302"/>
      <c r="AK521" s="302"/>
      <c r="AL521" s="302"/>
      <c r="AM521" s="302"/>
      <c r="AN521" s="302"/>
      <c r="AO521" s="302"/>
      <c r="AP521" s="302"/>
      <c r="AX521" s="302"/>
      <c r="AY521" s="302"/>
      <c r="AZ521" s="302"/>
      <c r="BA521" s="302"/>
      <c r="BB521" s="302"/>
      <c r="BC521" s="302"/>
      <c r="BD521" s="302"/>
      <c r="BE521" s="60"/>
    </row>
    <row r="522" spans="1:57" s="301" customFormat="1">
      <c r="A522" s="57"/>
      <c r="B522" s="57"/>
      <c r="C522" s="57"/>
      <c r="D522" s="57"/>
      <c r="E522" s="57"/>
      <c r="F522" s="57"/>
      <c r="G522" s="57"/>
      <c r="H522" s="57"/>
      <c r="I522" s="300"/>
      <c r="J522" s="57"/>
      <c r="K522" s="57"/>
      <c r="L522" s="57"/>
      <c r="M522" s="57"/>
      <c r="N522" s="57"/>
      <c r="O522" s="57"/>
      <c r="P522" s="146"/>
      <c r="Q522" s="146"/>
      <c r="V522" s="302"/>
      <c r="W522" s="302"/>
      <c r="X522" s="302"/>
      <c r="Y522" s="302"/>
      <c r="Z522" s="302"/>
      <c r="AA522" s="302"/>
      <c r="AB522" s="56"/>
      <c r="AC522" s="302"/>
      <c r="AD522" s="302"/>
      <c r="AE522" s="302"/>
      <c r="AF522" s="302"/>
      <c r="AG522" s="302"/>
      <c r="AH522" s="302"/>
      <c r="AI522" s="302"/>
      <c r="AJ522" s="302"/>
      <c r="AK522" s="302"/>
      <c r="AL522" s="302"/>
      <c r="AM522" s="302"/>
      <c r="AN522" s="302"/>
      <c r="AO522" s="302"/>
      <c r="AP522" s="302"/>
      <c r="AX522" s="302"/>
      <c r="AY522" s="302"/>
      <c r="AZ522" s="302"/>
      <c r="BA522" s="302"/>
      <c r="BB522" s="302"/>
      <c r="BC522" s="302"/>
      <c r="BD522" s="302"/>
      <c r="BE522" s="60"/>
    </row>
    <row r="523" spans="1:57" s="301" customFormat="1">
      <c r="A523" s="57"/>
      <c r="B523" s="57"/>
      <c r="C523" s="57"/>
      <c r="D523" s="57"/>
      <c r="E523" s="57"/>
      <c r="F523" s="57"/>
      <c r="G523" s="57"/>
      <c r="H523" s="57"/>
      <c r="I523" s="300"/>
      <c r="J523" s="57"/>
      <c r="K523" s="57"/>
      <c r="L523" s="57"/>
      <c r="M523" s="57"/>
      <c r="N523" s="57"/>
      <c r="O523" s="57"/>
      <c r="P523" s="146"/>
      <c r="Q523" s="146"/>
      <c r="V523" s="302"/>
      <c r="W523" s="302"/>
      <c r="X523" s="302"/>
      <c r="Y523" s="302"/>
      <c r="Z523" s="302"/>
      <c r="AA523" s="302"/>
      <c r="AB523" s="56"/>
      <c r="AC523" s="302"/>
      <c r="AD523" s="302"/>
      <c r="AE523" s="302"/>
      <c r="AF523" s="302"/>
      <c r="AG523" s="302"/>
      <c r="AH523" s="302"/>
      <c r="AI523" s="302"/>
      <c r="AJ523" s="302"/>
      <c r="AK523" s="302"/>
      <c r="AL523" s="302"/>
      <c r="AM523" s="302"/>
      <c r="AN523" s="302"/>
      <c r="AO523" s="302"/>
      <c r="AP523" s="302"/>
      <c r="AX523" s="302"/>
      <c r="AY523" s="302"/>
      <c r="AZ523" s="302"/>
      <c r="BA523" s="302"/>
      <c r="BB523" s="302"/>
      <c r="BC523" s="302"/>
      <c r="BD523" s="302"/>
      <c r="BE523" s="60"/>
    </row>
    <row r="524" spans="1:57" s="301" customFormat="1">
      <c r="A524" s="57"/>
      <c r="B524" s="57"/>
      <c r="C524" s="57"/>
      <c r="D524" s="57"/>
      <c r="E524" s="57"/>
      <c r="F524" s="57"/>
      <c r="G524" s="57"/>
      <c r="H524" s="57"/>
      <c r="I524" s="300"/>
      <c r="J524" s="57"/>
      <c r="K524" s="57"/>
      <c r="L524" s="57"/>
      <c r="M524" s="57"/>
      <c r="N524" s="57"/>
      <c r="O524" s="57"/>
      <c r="P524" s="146"/>
      <c r="Q524" s="146"/>
      <c r="V524" s="302"/>
      <c r="W524" s="302"/>
      <c r="X524" s="302"/>
      <c r="Y524" s="302"/>
      <c r="Z524" s="302"/>
      <c r="AA524" s="302"/>
      <c r="AB524" s="56"/>
      <c r="AC524" s="302"/>
      <c r="AD524" s="302"/>
      <c r="AE524" s="302"/>
      <c r="AF524" s="302"/>
      <c r="AG524" s="302"/>
      <c r="AH524" s="302"/>
      <c r="AI524" s="302"/>
      <c r="AJ524" s="302"/>
      <c r="AK524" s="302"/>
      <c r="AL524" s="302"/>
      <c r="AM524" s="302"/>
      <c r="AN524" s="302"/>
      <c r="AO524" s="302"/>
      <c r="AP524" s="302"/>
      <c r="AX524" s="302"/>
      <c r="AY524" s="302"/>
      <c r="AZ524" s="302"/>
      <c r="BA524" s="302"/>
      <c r="BB524" s="302"/>
      <c r="BC524" s="302"/>
      <c r="BD524" s="302"/>
      <c r="BE524" s="60"/>
    </row>
    <row r="525" spans="1:57" s="301" customFormat="1">
      <c r="A525" s="57"/>
      <c r="B525" s="57"/>
      <c r="C525" s="57"/>
      <c r="D525" s="57"/>
      <c r="E525" s="57"/>
      <c r="F525" s="57"/>
      <c r="G525" s="57"/>
      <c r="H525" s="57"/>
      <c r="I525" s="300"/>
      <c r="J525" s="57"/>
      <c r="K525" s="57"/>
      <c r="L525" s="57"/>
      <c r="M525" s="57"/>
      <c r="N525" s="57"/>
      <c r="O525" s="57"/>
      <c r="P525" s="146"/>
      <c r="Q525" s="146"/>
      <c r="V525" s="302"/>
      <c r="W525" s="302"/>
      <c r="X525" s="302"/>
      <c r="Y525" s="302"/>
      <c r="Z525" s="302"/>
      <c r="AA525" s="302"/>
      <c r="AB525" s="56"/>
      <c r="AC525" s="302"/>
      <c r="AD525" s="302"/>
      <c r="AE525" s="302"/>
      <c r="AF525" s="302"/>
      <c r="AG525" s="302"/>
      <c r="AH525" s="302"/>
      <c r="AI525" s="302"/>
      <c r="AJ525" s="302"/>
      <c r="AK525" s="302"/>
      <c r="AL525" s="302"/>
      <c r="AM525" s="302"/>
      <c r="AN525" s="302"/>
      <c r="AO525" s="302"/>
      <c r="AP525" s="302"/>
      <c r="AX525" s="302"/>
      <c r="AY525" s="302"/>
      <c r="AZ525" s="302"/>
      <c r="BA525" s="302"/>
      <c r="BB525" s="302"/>
      <c r="BC525" s="302"/>
      <c r="BD525" s="302"/>
      <c r="BE525" s="60"/>
    </row>
    <row r="526" spans="1:57" s="301" customFormat="1">
      <c r="A526" s="57"/>
      <c r="B526" s="57"/>
      <c r="C526" s="57"/>
      <c r="D526" s="57"/>
      <c r="E526" s="57"/>
      <c r="F526" s="57"/>
      <c r="G526" s="57"/>
      <c r="H526" s="57"/>
      <c r="I526" s="300"/>
      <c r="J526" s="57"/>
      <c r="K526" s="57"/>
      <c r="L526" s="57"/>
      <c r="M526" s="57"/>
      <c r="N526" s="57"/>
      <c r="O526" s="57"/>
      <c r="P526" s="146"/>
      <c r="Q526" s="146"/>
      <c r="V526" s="302"/>
      <c r="W526" s="302"/>
      <c r="X526" s="302"/>
      <c r="Y526" s="302"/>
      <c r="Z526" s="302"/>
      <c r="AA526" s="302"/>
      <c r="AB526" s="56"/>
      <c r="AC526" s="302"/>
      <c r="AD526" s="302"/>
      <c r="AE526" s="302"/>
      <c r="AF526" s="302"/>
      <c r="AG526" s="302"/>
      <c r="AH526" s="302"/>
      <c r="AI526" s="302"/>
      <c r="AJ526" s="302"/>
      <c r="AK526" s="302"/>
      <c r="AL526" s="302"/>
      <c r="AM526" s="302"/>
      <c r="AN526" s="302"/>
      <c r="AO526" s="302"/>
      <c r="AP526" s="302"/>
      <c r="AX526" s="302"/>
      <c r="AY526" s="302"/>
      <c r="AZ526" s="302"/>
      <c r="BA526" s="302"/>
      <c r="BB526" s="302"/>
      <c r="BC526" s="302"/>
      <c r="BD526" s="302"/>
      <c r="BE526" s="60"/>
    </row>
    <row r="527" spans="1:57" s="301" customFormat="1">
      <c r="A527" s="57"/>
      <c r="B527" s="57"/>
      <c r="C527" s="57"/>
      <c r="D527" s="57"/>
      <c r="E527" s="57"/>
      <c r="F527" s="57"/>
      <c r="G527" s="57"/>
      <c r="H527" s="57"/>
      <c r="I527" s="300"/>
      <c r="J527" s="57"/>
      <c r="K527" s="57"/>
      <c r="L527" s="57"/>
      <c r="M527" s="57"/>
      <c r="N527" s="57"/>
      <c r="O527" s="57"/>
      <c r="P527" s="146"/>
      <c r="Q527" s="146"/>
      <c r="V527" s="302"/>
      <c r="W527" s="302"/>
      <c r="X527" s="302"/>
      <c r="Y527" s="302"/>
      <c r="Z527" s="302"/>
      <c r="AA527" s="302"/>
      <c r="AB527" s="56"/>
      <c r="AC527" s="302"/>
      <c r="AD527" s="302"/>
      <c r="AE527" s="302"/>
      <c r="AF527" s="302"/>
      <c r="AG527" s="302"/>
      <c r="AH527" s="302"/>
      <c r="AI527" s="302"/>
      <c r="AJ527" s="302"/>
      <c r="AK527" s="302"/>
      <c r="AL527" s="302"/>
      <c r="AM527" s="302"/>
      <c r="AN527" s="302"/>
      <c r="AO527" s="302"/>
      <c r="AP527" s="302"/>
      <c r="AX527" s="302"/>
      <c r="AY527" s="302"/>
      <c r="AZ527" s="302"/>
      <c r="BA527" s="302"/>
      <c r="BB527" s="302"/>
      <c r="BC527" s="302"/>
      <c r="BD527" s="302"/>
      <c r="BE527" s="60"/>
    </row>
    <row r="528" spans="1:57" s="301" customFormat="1">
      <c r="A528" s="57"/>
      <c r="B528" s="57"/>
      <c r="C528" s="57"/>
      <c r="D528" s="57"/>
      <c r="E528" s="57"/>
      <c r="F528" s="57"/>
      <c r="G528" s="57"/>
      <c r="H528" s="57"/>
      <c r="I528" s="300"/>
      <c r="J528" s="57"/>
      <c r="K528" s="57"/>
      <c r="L528" s="57"/>
      <c r="M528" s="57"/>
      <c r="N528" s="57"/>
      <c r="O528" s="57"/>
      <c r="P528" s="146"/>
      <c r="Q528" s="146"/>
      <c r="V528" s="302"/>
      <c r="W528" s="302"/>
      <c r="X528" s="302"/>
      <c r="Y528" s="302"/>
      <c r="Z528" s="302"/>
      <c r="AA528" s="302"/>
      <c r="AB528" s="56"/>
      <c r="AC528" s="302"/>
      <c r="AD528" s="302"/>
      <c r="AE528" s="302"/>
      <c r="AF528" s="302"/>
      <c r="AG528" s="302"/>
      <c r="AH528" s="302"/>
      <c r="AI528" s="302"/>
      <c r="AJ528" s="302"/>
      <c r="AK528" s="302"/>
      <c r="AL528" s="302"/>
      <c r="AM528" s="302"/>
      <c r="AN528" s="302"/>
      <c r="AO528" s="302"/>
      <c r="AP528" s="302"/>
      <c r="AX528" s="302"/>
      <c r="AY528" s="302"/>
      <c r="AZ528" s="302"/>
      <c r="BA528" s="302"/>
      <c r="BB528" s="302"/>
      <c r="BC528" s="302"/>
      <c r="BD528" s="302"/>
      <c r="BE528" s="60"/>
    </row>
    <row r="529" spans="1:57" s="301" customFormat="1">
      <c r="A529" s="57"/>
      <c r="B529" s="57"/>
      <c r="C529" s="57"/>
      <c r="D529" s="57"/>
      <c r="E529" s="57"/>
      <c r="F529" s="57"/>
      <c r="G529" s="57"/>
      <c r="H529" s="57"/>
      <c r="I529" s="300"/>
      <c r="J529" s="57"/>
      <c r="K529" s="57"/>
      <c r="L529" s="57"/>
      <c r="M529" s="57"/>
      <c r="N529" s="57"/>
      <c r="O529" s="57"/>
      <c r="P529" s="146"/>
      <c r="Q529" s="146"/>
      <c r="V529" s="302"/>
      <c r="W529" s="302"/>
      <c r="X529" s="302"/>
      <c r="Y529" s="302"/>
      <c r="Z529" s="302"/>
      <c r="AA529" s="302"/>
      <c r="AB529" s="56"/>
      <c r="AC529" s="302"/>
      <c r="AD529" s="302"/>
      <c r="AE529" s="302"/>
      <c r="AF529" s="302"/>
      <c r="AG529" s="302"/>
      <c r="AH529" s="302"/>
      <c r="AI529" s="302"/>
      <c r="AJ529" s="302"/>
      <c r="AK529" s="302"/>
      <c r="AL529" s="302"/>
      <c r="AM529" s="302"/>
      <c r="AN529" s="302"/>
      <c r="AO529" s="302"/>
      <c r="AP529" s="302"/>
      <c r="AX529" s="302"/>
      <c r="AY529" s="302"/>
      <c r="AZ529" s="302"/>
      <c r="BA529" s="302"/>
      <c r="BB529" s="302"/>
      <c r="BC529" s="302"/>
      <c r="BD529" s="302"/>
      <c r="BE529" s="60"/>
    </row>
    <row r="530" spans="1:57" s="301" customFormat="1">
      <c r="A530" s="57"/>
      <c r="B530" s="57"/>
      <c r="C530" s="57"/>
      <c r="D530" s="57"/>
      <c r="E530" s="57"/>
      <c r="F530" s="57"/>
      <c r="G530" s="57"/>
      <c r="H530" s="57"/>
      <c r="I530" s="300"/>
      <c r="J530" s="57"/>
      <c r="K530" s="57"/>
      <c r="L530" s="57"/>
      <c r="M530" s="57"/>
      <c r="N530" s="57"/>
      <c r="O530" s="57"/>
      <c r="P530" s="146"/>
      <c r="Q530" s="146"/>
      <c r="V530" s="302"/>
      <c r="W530" s="302"/>
      <c r="X530" s="302"/>
      <c r="Y530" s="302"/>
      <c r="Z530" s="302"/>
      <c r="AA530" s="302"/>
      <c r="AB530" s="56"/>
      <c r="AC530" s="302"/>
      <c r="AD530" s="302"/>
      <c r="AE530" s="302"/>
      <c r="AF530" s="302"/>
      <c r="AG530" s="302"/>
      <c r="AH530" s="302"/>
      <c r="AI530" s="302"/>
      <c r="AJ530" s="302"/>
      <c r="AK530" s="302"/>
      <c r="AL530" s="302"/>
      <c r="AM530" s="302"/>
      <c r="AN530" s="302"/>
      <c r="AO530" s="302"/>
      <c r="AP530" s="302"/>
      <c r="AX530" s="302"/>
      <c r="AY530" s="302"/>
      <c r="AZ530" s="302"/>
      <c r="BA530" s="302"/>
      <c r="BB530" s="302"/>
      <c r="BC530" s="302"/>
      <c r="BD530" s="302"/>
      <c r="BE530" s="60"/>
    </row>
    <row r="531" spans="1:57" s="301" customFormat="1">
      <c r="A531" s="57"/>
      <c r="B531" s="57"/>
      <c r="C531" s="57"/>
      <c r="D531" s="57"/>
      <c r="E531" s="57"/>
      <c r="F531" s="57"/>
      <c r="G531" s="57"/>
      <c r="H531" s="57"/>
      <c r="I531" s="300"/>
      <c r="J531" s="57"/>
      <c r="K531" s="57"/>
      <c r="L531" s="57"/>
      <c r="M531" s="57"/>
      <c r="N531" s="57"/>
      <c r="O531" s="57"/>
      <c r="P531" s="146"/>
      <c r="Q531" s="146"/>
      <c r="V531" s="302"/>
      <c r="W531" s="302"/>
      <c r="X531" s="302"/>
      <c r="Y531" s="302"/>
      <c r="Z531" s="302"/>
      <c r="AA531" s="302"/>
      <c r="AB531" s="56"/>
      <c r="AC531" s="302"/>
      <c r="AD531" s="302"/>
      <c r="AE531" s="302"/>
      <c r="AF531" s="302"/>
      <c r="AG531" s="302"/>
      <c r="AH531" s="302"/>
      <c r="AI531" s="302"/>
      <c r="AJ531" s="302"/>
      <c r="AK531" s="302"/>
      <c r="AL531" s="302"/>
      <c r="AM531" s="302"/>
      <c r="AN531" s="302"/>
      <c r="AO531" s="302"/>
      <c r="AP531" s="302"/>
      <c r="AX531" s="302"/>
      <c r="AY531" s="302"/>
      <c r="AZ531" s="302"/>
      <c r="BA531" s="302"/>
      <c r="BB531" s="302"/>
      <c r="BC531" s="302"/>
      <c r="BD531" s="302"/>
      <c r="BE531" s="60"/>
    </row>
    <row r="532" spans="1:57" s="301" customFormat="1">
      <c r="A532" s="57"/>
      <c r="B532" s="57"/>
      <c r="C532" s="57"/>
      <c r="D532" s="57"/>
      <c r="E532" s="57"/>
      <c r="F532" s="57"/>
      <c r="G532" s="57"/>
      <c r="H532" s="57"/>
      <c r="I532" s="300"/>
      <c r="J532" s="57"/>
      <c r="K532" s="57"/>
      <c r="L532" s="57"/>
      <c r="M532" s="57"/>
      <c r="N532" s="57"/>
      <c r="O532" s="57"/>
      <c r="P532" s="146"/>
      <c r="Q532" s="146"/>
      <c r="V532" s="302"/>
      <c r="W532" s="302"/>
      <c r="X532" s="302"/>
      <c r="Y532" s="302"/>
      <c r="Z532" s="302"/>
      <c r="AA532" s="302"/>
      <c r="AB532" s="56"/>
      <c r="AC532" s="302"/>
      <c r="AD532" s="302"/>
      <c r="AE532" s="302"/>
      <c r="AF532" s="302"/>
      <c r="AG532" s="302"/>
      <c r="AH532" s="302"/>
      <c r="AI532" s="302"/>
      <c r="AJ532" s="302"/>
      <c r="AK532" s="302"/>
      <c r="AL532" s="302"/>
      <c r="AM532" s="302"/>
      <c r="AN532" s="302"/>
      <c r="AO532" s="302"/>
      <c r="AP532" s="302"/>
      <c r="AX532" s="302"/>
      <c r="AY532" s="302"/>
      <c r="AZ532" s="302"/>
      <c r="BA532" s="302"/>
      <c r="BB532" s="302"/>
      <c r="BC532" s="302"/>
      <c r="BD532" s="302"/>
      <c r="BE532" s="60"/>
    </row>
    <row r="533" spans="1:57" s="301" customFormat="1">
      <c r="A533" s="57"/>
      <c r="B533" s="57"/>
      <c r="C533" s="57"/>
      <c r="D533" s="57"/>
      <c r="E533" s="57"/>
      <c r="F533" s="57"/>
      <c r="G533" s="57"/>
      <c r="H533" s="57"/>
      <c r="I533" s="300"/>
      <c r="J533" s="57"/>
      <c r="K533" s="57"/>
      <c r="L533" s="57"/>
      <c r="M533" s="57"/>
      <c r="N533" s="57"/>
      <c r="O533" s="57"/>
      <c r="P533" s="146"/>
      <c r="Q533" s="146"/>
      <c r="V533" s="302"/>
      <c r="W533" s="302"/>
      <c r="X533" s="302"/>
      <c r="Y533" s="302"/>
      <c r="Z533" s="302"/>
      <c r="AA533" s="302"/>
      <c r="AB533" s="56"/>
      <c r="AC533" s="302"/>
      <c r="AD533" s="302"/>
      <c r="AE533" s="302"/>
      <c r="AF533" s="302"/>
      <c r="AG533" s="302"/>
      <c r="AH533" s="302"/>
      <c r="AI533" s="302"/>
      <c r="AJ533" s="302"/>
      <c r="AK533" s="302"/>
      <c r="AL533" s="302"/>
      <c r="AM533" s="302"/>
      <c r="AN533" s="302"/>
      <c r="AO533" s="302"/>
      <c r="AP533" s="302"/>
      <c r="AX533" s="302"/>
      <c r="AY533" s="302"/>
      <c r="AZ533" s="302"/>
      <c r="BA533" s="302"/>
      <c r="BB533" s="302"/>
      <c r="BC533" s="302"/>
      <c r="BD533" s="302"/>
      <c r="BE533" s="60"/>
    </row>
    <row r="534" spans="1:57" s="301" customFormat="1">
      <c r="A534" s="57"/>
      <c r="B534" s="57"/>
      <c r="C534" s="57"/>
      <c r="D534" s="57"/>
      <c r="E534" s="57"/>
      <c r="F534" s="57"/>
      <c r="G534" s="57"/>
      <c r="H534" s="57"/>
      <c r="I534" s="300"/>
      <c r="J534" s="57"/>
      <c r="K534" s="57"/>
      <c r="L534" s="57"/>
      <c r="M534" s="57"/>
      <c r="N534" s="57"/>
      <c r="O534" s="57"/>
      <c r="P534" s="146"/>
      <c r="Q534" s="146"/>
      <c r="V534" s="302"/>
      <c r="W534" s="302"/>
      <c r="X534" s="302"/>
      <c r="Y534" s="302"/>
      <c r="Z534" s="302"/>
      <c r="AA534" s="302"/>
      <c r="AB534" s="56"/>
      <c r="AC534" s="302"/>
      <c r="AD534" s="302"/>
      <c r="AE534" s="302"/>
      <c r="AF534" s="302"/>
      <c r="AG534" s="302"/>
      <c r="AH534" s="302"/>
      <c r="AI534" s="302"/>
      <c r="AJ534" s="302"/>
      <c r="AK534" s="302"/>
      <c r="AL534" s="302"/>
      <c r="AM534" s="302"/>
      <c r="AN534" s="302"/>
      <c r="AO534" s="302"/>
      <c r="AP534" s="302"/>
      <c r="AX534" s="302"/>
      <c r="AY534" s="302"/>
      <c r="AZ534" s="302"/>
      <c r="BA534" s="302"/>
      <c r="BB534" s="302"/>
      <c r="BC534" s="302"/>
      <c r="BD534" s="302"/>
      <c r="BE534" s="60"/>
    </row>
    <row r="535" spans="1:57" s="301" customFormat="1">
      <c r="A535" s="57"/>
      <c r="B535" s="57"/>
      <c r="C535" s="57"/>
      <c r="D535" s="57"/>
      <c r="E535" s="57"/>
      <c r="F535" s="57"/>
      <c r="G535" s="57"/>
      <c r="H535" s="57"/>
      <c r="I535" s="300"/>
      <c r="J535" s="57"/>
      <c r="K535" s="57"/>
      <c r="L535" s="57"/>
      <c r="M535" s="57"/>
      <c r="N535" s="57"/>
      <c r="O535" s="57"/>
      <c r="P535" s="146"/>
      <c r="Q535" s="146"/>
      <c r="V535" s="302"/>
      <c r="W535" s="302"/>
      <c r="X535" s="302"/>
      <c r="Y535" s="302"/>
      <c r="Z535" s="302"/>
      <c r="AA535" s="302"/>
      <c r="AB535" s="56"/>
      <c r="AC535" s="302"/>
      <c r="AD535" s="302"/>
      <c r="AE535" s="302"/>
      <c r="AF535" s="302"/>
      <c r="AG535" s="302"/>
      <c r="AH535" s="302"/>
      <c r="AI535" s="302"/>
      <c r="AJ535" s="302"/>
      <c r="AK535" s="302"/>
      <c r="AL535" s="302"/>
      <c r="AM535" s="302"/>
      <c r="AN535" s="302"/>
      <c r="AO535" s="302"/>
      <c r="AP535" s="302"/>
      <c r="AX535" s="302"/>
      <c r="AY535" s="302"/>
      <c r="AZ535" s="302"/>
      <c r="BA535" s="302"/>
      <c r="BB535" s="302"/>
      <c r="BC535" s="302"/>
      <c r="BD535" s="302"/>
      <c r="BE535" s="60"/>
    </row>
    <row r="536" spans="1:57" s="301" customFormat="1">
      <c r="A536" s="57"/>
      <c r="B536" s="57"/>
      <c r="C536" s="57"/>
      <c r="D536" s="57"/>
      <c r="E536" s="57"/>
      <c r="F536" s="57"/>
      <c r="G536" s="57"/>
      <c r="H536" s="57"/>
      <c r="I536" s="300"/>
      <c r="J536" s="57"/>
      <c r="K536" s="57"/>
      <c r="L536" s="57"/>
      <c r="M536" s="57"/>
      <c r="N536" s="57"/>
      <c r="O536" s="57"/>
      <c r="P536" s="146"/>
      <c r="Q536" s="146"/>
      <c r="V536" s="302"/>
      <c r="W536" s="302"/>
      <c r="X536" s="302"/>
      <c r="Y536" s="302"/>
      <c r="Z536" s="302"/>
      <c r="AA536" s="302"/>
      <c r="AB536" s="56"/>
      <c r="AC536" s="302"/>
      <c r="AD536" s="302"/>
      <c r="AE536" s="302"/>
      <c r="AF536" s="302"/>
      <c r="AG536" s="302"/>
      <c r="AH536" s="302"/>
      <c r="AI536" s="302"/>
      <c r="AJ536" s="302"/>
      <c r="AK536" s="302"/>
      <c r="AL536" s="302"/>
      <c r="AM536" s="302"/>
      <c r="AN536" s="302"/>
      <c r="AO536" s="302"/>
      <c r="AP536" s="302"/>
      <c r="AX536" s="302"/>
      <c r="AY536" s="302"/>
      <c r="AZ536" s="302"/>
      <c r="BA536" s="302"/>
      <c r="BB536" s="302"/>
      <c r="BC536" s="302"/>
      <c r="BD536" s="302"/>
      <c r="BE536" s="60"/>
    </row>
    <row r="537" spans="1:57" s="301" customFormat="1">
      <c r="A537" s="57"/>
      <c r="B537" s="57"/>
      <c r="C537" s="57"/>
      <c r="D537" s="57"/>
      <c r="E537" s="57"/>
      <c r="F537" s="57"/>
      <c r="G537" s="57"/>
      <c r="H537" s="57"/>
      <c r="I537" s="300"/>
      <c r="J537" s="57"/>
      <c r="K537" s="57"/>
      <c r="L537" s="57"/>
      <c r="M537" s="57"/>
      <c r="N537" s="57"/>
      <c r="O537" s="57"/>
      <c r="P537" s="146"/>
      <c r="Q537" s="146"/>
      <c r="V537" s="302"/>
      <c r="W537" s="302"/>
      <c r="X537" s="302"/>
      <c r="Y537" s="302"/>
      <c r="Z537" s="302"/>
      <c r="AA537" s="302"/>
      <c r="AB537" s="56"/>
      <c r="AC537" s="302"/>
      <c r="AD537" s="302"/>
      <c r="AE537" s="302"/>
      <c r="AF537" s="302"/>
      <c r="AG537" s="302"/>
      <c r="AH537" s="302"/>
      <c r="AI537" s="302"/>
      <c r="AJ537" s="302"/>
      <c r="AK537" s="302"/>
      <c r="AL537" s="302"/>
      <c r="AM537" s="302"/>
      <c r="AN537" s="302"/>
      <c r="AO537" s="302"/>
      <c r="AP537" s="302"/>
      <c r="AX537" s="302"/>
      <c r="AY537" s="302"/>
      <c r="AZ537" s="302"/>
      <c r="BA537" s="302"/>
      <c r="BB537" s="302"/>
      <c r="BC537" s="302"/>
      <c r="BD537" s="302"/>
      <c r="BE537" s="60"/>
    </row>
    <row r="538" spans="1:57" s="301" customFormat="1">
      <c r="A538" s="57"/>
      <c r="B538" s="57"/>
      <c r="C538" s="57"/>
      <c r="D538" s="57"/>
      <c r="E538" s="57"/>
      <c r="F538" s="57"/>
      <c r="G538" s="57"/>
      <c r="H538" s="57"/>
      <c r="I538" s="300"/>
      <c r="J538" s="57"/>
      <c r="K538" s="57"/>
      <c r="L538" s="57"/>
      <c r="M538" s="57"/>
      <c r="N538" s="57"/>
      <c r="O538" s="57"/>
      <c r="P538" s="146"/>
      <c r="Q538" s="146"/>
      <c r="V538" s="302"/>
      <c r="W538" s="302"/>
      <c r="X538" s="302"/>
      <c r="Y538" s="302"/>
      <c r="Z538" s="302"/>
      <c r="AA538" s="302"/>
      <c r="AB538" s="56"/>
      <c r="AC538" s="302"/>
      <c r="AD538" s="302"/>
      <c r="AE538" s="302"/>
      <c r="AF538" s="302"/>
      <c r="AG538" s="302"/>
      <c r="AH538" s="302"/>
      <c r="AI538" s="302"/>
      <c r="AJ538" s="302"/>
      <c r="AK538" s="302"/>
      <c r="AL538" s="302"/>
      <c r="AM538" s="302"/>
      <c r="AN538" s="302"/>
      <c r="AO538" s="302"/>
      <c r="AP538" s="302"/>
      <c r="AX538" s="302"/>
      <c r="AY538" s="302"/>
      <c r="AZ538" s="302"/>
      <c r="BA538" s="302"/>
      <c r="BB538" s="302"/>
      <c r="BC538" s="302"/>
      <c r="BD538" s="302"/>
      <c r="BE538" s="60"/>
    </row>
    <row r="539" spans="1:57" s="301" customFormat="1">
      <c r="A539" s="57"/>
      <c r="B539" s="57"/>
      <c r="C539" s="57"/>
      <c r="D539" s="57"/>
      <c r="E539" s="57"/>
      <c r="F539" s="57"/>
      <c r="G539" s="57"/>
      <c r="H539" s="57"/>
      <c r="I539" s="300"/>
      <c r="J539" s="57"/>
      <c r="K539" s="57"/>
      <c r="L539" s="57"/>
      <c r="M539" s="57"/>
      <c r="N539" s="57"/>
      <c r="O539" s="57"/>
      <c r="P539" s="146"/>
      <c r="Q539" s="146"/>
      <c r="V539" s="302"/>
      <c r="W539" s="302"/>
      <c r="X539" s="302"/>
      <c r="Y539" s="302"/>
      <c r="Z539" s="302"/>
      <c r="AA539" s="302"/>
      <c r="AB539" s="56"/>
      <c r="AC539" s="302"/>
      <c r="AD539" s="302"/>
      <c r="AE539" s="302"/>
      <c r="AF539" s="302"/>
      <c r="AG539" s="302"/>
      <c r="AH539" s="302"/>
      <c r="AI539" s="302"/>
      <c r="AJ539" s="302"/>
      <c r="AK539" s="302"/>
      <c r="AL539" s="302"/>
      <c r="AM539" s="302"/>
      <c r="AN539" s="302"/>
      <c r="AO539" s="302"/>
      <c r="AP539" s="302"/>
      <c r="AX539" s="302"/>
      <c r="AY539" s="302"/>
      <c r="AZ539" s="302"/>
      <c r="BA539" s="302"/>
      <c r="BB539" s="302"/>
      <c r="BC539" s="302"/>
      <c r="BD539" s="302"/>
      <c r="BE539" s="60"/>
    </row>
    <row r="540" spans="1:57" s="301" customFormat="1">
      <c r="A540" s="57"/>
      <c r="B540" s="57"/>
      <c r="C540" s="57"/>
      <c r="D540" s="57"/>
      <c r="E540" s="57"/>
      <c r="F540" s="57"/>
      <c r="G540" s="57"/>
      <c r="H540" s="57"/>
      <c r="I540" s="300"/>
      <c r="J540" s="57"/>
      <c r="K540" s="57"/>
      <c r="L540" s="57"/>
      <c r="M540" s="57"/>
      <c r="N540" s="57"/>
      <c r="O540" s="57"/>
      <c r="P540" s="146"/>
      <c r="Q540" s="146"/>
      <c r="V540" s="302"/>
      <c r="W540" s="302"/>
      <c r="X540" s="302"/>
      <c r="Y540" s="302"/>
      <c r="Z540" s="302"/>
      <c r="AA540" s="302"/>
      <c r="AB540" s="56"/>
      <c r="AC540" s="302"/>
      <c r="AD540" s="302"/>
      <c r="AE540" s="302"/>
      <c r="AF540" s="302"/>
      <c r="AG540" s="302"/>
      <c r="AH540" s="302"/>
      <c r="AI540" s="302"/>
      <c r="AJ540" s="302"/>
      <c r="AK540" s="302"/>
      <c r="AL540" s="302"/>
      <c r="AM540" s="302"/>
      <c r="AN540" s="302"/>
      <c r="AO540" s="302"/>
      <c r="AP540" s="302"/>
      <c r="AX540" s="302"/>
      <c r="AY540" s="302"/>
      <c r="AZ540" s="302"/>
      <c r="BA540" s="302"/>
      <c r="BB540" s="302"/>
      <c r="BC540" s="302"/>
      <c r="BD540" s="302"/>
      <c r="BE540" s="60"/>
    </row>
    <row r="541" spans="1:57" s="301" customFormat="1">
      <c r="A541" s="57"/>
      <c r="B541" s="57"/>
      <c r="C541" s="57"/>
      <c r="D541" s="57"/>
      <c r="E541" s="57"/>
      <c r="F541" s="57"/>
      <c r="G541" s="57"/>
      <c r="H541" s="57"/>
      <c r="I541" s="300"/>
      <c r="J541" s="57"/>
      <c r="K541" s="57"/>
      <c r="L541" s="57"/>
      <c r="M541" s="57"/>
      <c r="N541" s="57"/>
      <c r="O541" s="57"/>
      <c r="P541" s="146"/>
      <c r="Q541" s="146"/>
      <c r="V541" s="302"/>
      <c r="W541" s="302"/>
      <c r="X541" s="302"/>
      <c r="Y541" s="302"/>
      <c r="Z541" s="302"/>
      <c r="AA541" s="302"/>
      <c r="AB541" s="56"/>
      <c r="AC541" s="302"/>
      <c r="AD541" s="302"/>
      <c r="AE541" s="302"/>
      <c r="AF541" s="302"/>
      <c r="AG541" s="302"/>
      <c r="AH541" s="302"/>
      <c r="AI541" s="302"/>
      <c r="AJ541" s="302"/>
      <c r="AK541" s="302"/>
      <c r="AL541" s="302"/>
      <c r="AM541" s="302"/>
      <c r="AN541" s="302"/>
      <c r="AO541" s="302"/>
      <c r="AP541" s="302"/>
      <c r="AX541" s="302"/>
      <c r="AY541" s="302"/>
      <c r="AZ541" s="302"/>
      <c r="BA541" s="302"/>
      <c r="BB541" s="302"/>
      <c r="BC541" s="302"/>
      <c r="BD541" s="302"/>
      <c r="BE541" s="60"/>
    </row>
    <row r="542" spans="1:57" s="301" customFormat="1">
      <c r="A542" s="57"/>
      <c r="B542" s="57"/>
      <c r="C542" s="57"/>
      <c r="D542" s="57"/>
      <c r="E542" s="57"/>
      <c r="F542" s="57"/>
      <c r="G542" s="57"/>
      <c r="H542" s="57"/>
      <c r="I542" s="300"/>
      <c r="J542" s="57"/>
      <c r="K542" s="57"/>
      <c r="L542" s="57"/>
      <c r="M542" s="57"/>
      <c r="N542" s="57"/>
      <c r="O542" s="57"/>
      <c r="P542" s="146"/>
      <c r="Q542" s="146"/>
      <c r="V542" s="302"/>
      <c r="W542" s="302"/>
      <c r="X542" s="302"/>
      <c r="Y542" s="302"/>
      <c r="Z542" s="302"/>
      <c r="AA542" s="302"/>
      <c r="AB542" s="56"/>
      <c r="AC542" s="302"/>
      <c r="AD542" s="302"/>
      <c r="AE542" s="302"/>
      <c r="AF542" s="302"/>
      <c r="AG542" s="302"/>
      <c r="AH542" s="302"/>
      <c r="AI542" s="302"/>
      <c r="AJ542" s="302"/>
      <c r="AK542" s="302"/>
      <c r="AL542" s="302"/>
      <c r="AM542" s="302"/>
      <c r="AN542" s="302"/>
      <c r="AO542" s="302"/>
      <c r="AP542" s="302"/>
      <c r="AX542" s="302"/>
      <c r="AY542" s="302"/>
      <c r="AZ542" s="302"/>
      <c r="BA542" s="302"/>
      <c r="BB542" s="302"/>
      <c r="BC542" s="302"/>
      <c r="BD542" s="302"/>
      <c r="BE542" s="60"/>
    </row>
    <row r="543" spans="1:57" s="301" customFormat="1">
      <c r="A543" s="57"/>
      <c r="B543" s="57"/>
      <c r="C543" s="57"/>
      <c r="D543" s="57"/>
      <c r="E543" s="57"/>
      <c r="F543" s="57"/>
      <c r="G543" s="57"/>
      <c r="H543" s="57"/>
      <c r="I543" s="300"/>
      <c r="J543" s="57"/>
      <c r="K543" s="57"/>
      <c r="L543" s="57"/>
      <c r="M543" s="57"/>
      <c r="N543" s="57"/>
      <c r="O543" s="57"/>
      <c r="P543" s="146"/>
      <c r="Q543" s="146"/>
      <c r="V543" s="302"/>
      <c r="W543" s="302"/>
      <c r="X543" s="302"/>
      <c r="Y543" s="302"/>
      <c r="Z543" s="302"/>
      <c r="AA543" s="302"/>
      <c r="AB543" s="56"/>
      <c r="AC543" s="302"/>
      <c r="AD543" s="302"/>
      <c r="AE543" s="302"/>
      <c r="AF543" s="302"/>
      <c r="AG543" s="302"/>
      <c r="AH543" s="302"/>
      <c r="AI543" s="302"/>
      <c r="AJ543" s="302"/>
      <c r="AK543" s="302"/>
      <c r="AL543" s="302"/>
      <c r="AM543" s="302"/>
      <c r="AN543" s="302"/>
      <c r="AO543" s="302"/>
      <c r="AP543" s="302"/>
      <c r="AX543" s="302"/>
      <c r="AY543" s="302"/>
      <c r="AZ543" s="302"/>
      <c r="BA543" s="302"/>
      <c r="BB543" s="302"/>
      <c r="BC543" s="302"/>
      <c r="BD543" s="302"/>
      <c r="BE543" s="60"/>
    </row>
    <row r="544" spans="1:57" s="301" customFormat="1">
      <c r="A544" s="57"/>
      <c r="B544" s="57"/>
      <c r="C544" s="57"/>
      <c r="D544" s="57"/>
      <c r="E544" s="57"/>
      <c r="F544" s="57"/>
      <c r="G544" s="57"/>
      <c r="H544" s="57"/>
      <c r="I544" s="300"/>
      <c r="J544" s="57"/>
      <c r="K544" s="57"/>
      <c r="L544" s="57"/>
      <c r="M544" s="57"/>
      <c r="N544" s="57"/>
      <c r="O544" s="57"/>
      <c r="P544" s="146"/>
      <c r="Q544" s="146"/>
      <c r="V544" s="302"/>
      <c r="W544" s="302"/>
      <c r="X544" s="302"/>
      <c r="Y544" s="302"/>
      <c r="Z544" s="302"/>
      <c r="AA544" s="302"/>
      <c r="AB544" s="56"/>
      <c r="AC544" s="302"/>
      <c r="AD544" s="302"/>
      <c r="AE544" s="302"/>
      <c r="AF544" s="302"/>
      <c r="AG544" s="302"/>
      <c r="AH544" s="302"/>
      <c r="AI544" s="302"/>
      <c r="AJ544" s="302"/>
      <c r="AK544" s="302"/>
      <c r="AL544" s="302"/>
      <c r="AM544" s="302"/>
      <c r="AN544" s="302"/>
      <c r="AO544" s="302"/>
      <c r="AP544" s="302"/>
      <c r="AX544" s="302"/>
      <c r="AY544" s="302"/>
      <c r="AZ544" s="302"/>
      <c r="BA544" s="302"/>
      <c r="BB544" s="302"/>
      <c r="BC544" s="302"/>
      <c r="BD544" s="302"/>
      <c r="BE544" s="60"/>
    </row>
    <row r="545" spans="1:57" s="301" customFormat="1">
      <c r="A545" s="57"/>
      <c r="B545" s="57"/>
      <c r="C545" s="57"/>
      <c r="D545" s="57"/>
      <c r="E545" s="57"/>
      <c r="F545" s="57"/>
      <c r="G545" s="57"/>
      <c r="H545" s="57"/>
      <c r="I545" s="300"/>
      <c r="J545" s="57"/>
      <c r="K545" s="57"/>
      <c r="L545" s="57"/>
      <c r="M545" s="57"/>
      <c r="N545" s="57"/>
      <c r="O545" s="57"/>
      <c r="P545" s="146"/>
      <c r="Q545" s="146"/>
      <c r="V545" s="302"/>
      <c r="W545" s="302"/>
      <c r="X545" s="302"/>
      <c r="Y545" s="302"/>
      <c r="Z545" s="302"/>
      <c r="AA545" s="302"/>
      <c r="AB545" s="56"/>
      <c r="AC545" s="302"/>
      <c r="AD545" s="302"/>
      <c r="AE545" s="302"/>
      <c r="AF545" s="302"/>
      <c r="AG545" s="302"/>
      <c r="AH545" s="302"/>
      <c r="AI545" s="302"/>
      <c r="AJ545" s="302"/>
      <c r="AK545" s="302"/>
      <c r="AL545" s="302"/>
      <c r="AM545" s="302"/>
      <c r="AN545" s="302"/>
      <c r="AO545" s="302"/>
      <c r="AP545" s="302"/>
      <c r="AX545" s="302"/>
      <c r="AY545" s="302"/>
      <c r="AZ545" s="302"/>
      <c r="BA545" s="302"/>
      <c r="BB545" s="302"/>
      <c r="BC545" s="302"/>
      <c r="BD545" s="302"/>
      <c r="BE545" s="60"/>
    </row>
    <row r="546" spans="1:57" s="301" customFormat="1">
      <c r="A546" s="57"/>
      <c r="B546" s="57"/>
      <c r="C546" s="57"/>
      <c r="D546" s="57"/>
      <c r="E546" s="57"/>
      <c r="F546" s="57"/>
      <c r="G546" s="57"/>
      <c r="H546" s="57"/>
      <c r="I546" s="300"/>
      <c r="J546" s="57"/>
      <c r="K546" s="57"/>
      <c r="L546" s="57"/>
      <c r="M546" s="57"/>
      <c r="N546" s="57"/>
      <c r="O546" s="57"/>
      <c r="P546" s="146"/>
      <c r="Q546" s="146"/>
      <c r="V546" s="302"/>
      <c r="W546" s="302"/>
      <c r="X546" s="302"/>
      <c r="Y546" s="302"/>
      <c r="Z546" s="302"/>
      <c r="AA546" s="302"/>
      <c r="AB546" s="56"/>
      <c r="AC546" s="302"/>
      <c r="AD546" s="302"/>
      <c r="AE546" s="302"/>
      <c r="AF546" s="302"/>
      <c r="AG546" s="302"/>
      <c r="AH546" s="302"/>
      <c r="AI546" s="302"/>
      <c r="AJ546" s="302"/>
      <c r="AK546" s="302"/>
      <c r="AL546" s="302"/>
      <c r="AM546" s="302"/>
      <c r="AN546" s="302"/>
      <c r="AO546" s="302"/>
      <c r="AP546" s="302"/>
      <c r="AX546" s="302"/>
      <c r="AY546" s="302"/>
      <c r="AZ546" s="302"/>
      <c r="BA546" s="302"/>
      <c r="BB546" s="302"/>
      <c r="BC546" s="302"/>
      <c r="BD546" s="302"/>
      <c r="BE546" s="60"/>
    </row>
    <row r="547" spans="1:57" s="301" customFormat="1">
      <c r="A547" s="57"/>
      <c r="B547" s="57"/>
      <c r="C547" s="57"/>
      <c r="D547" s="57"/>
      <c r="E547" s="57"/>
      <c r="F547" s="57"/>
      <c r="G547" s="57"/>
      <c r="H547" s="57"/>
      <c r="I547" s="300"/>
      <c r="J547" s="57"/>
      <c r="K547" s="57"/>
      <c r="L547" s="57"/>
      <c r="M547" s="57"/>
      <c r="N547" s="57"/>
      <c r="O547" s="57"/>
      <c r="P547" s="146"/>
      <c r="Q547" s="146"/>
      <c r="V547" s="302"/>
      <c r="W547" s="302"/>
      <c r="X547" s="302"/>
      <c r="Y547" s="302"/>
      <c r="Z547" s="302"/>
      <c r="AA547" s="302"/>
      <c r="AB547" s="56"/>
      <c r="AC547" s="302"/>
      <c r="AD547" s="302"/>
      <c r="AE547" s="302"/>
      <c r="AF547" s="302"/>
      <c r="AG547" s="302"/>
      <c r="AH547" s="302"/>
      <c r="AI547" s="302"/>
      <c r="AJ547" s="302"/>
      <c r="AK547" s="302"/>
      <c r="AL547" s="302"/>
      <c r="AM547" s="302"/>
      <c r="AN547" s="302"/>
      <c r="AO547" s="302"/>
      <c r="AP547" s="302"/>
      <c r="AX547" s="302"/>
      <c r="AY547" s="302"/>
      <c r="AZ547" s="302"/>
      <c r="BA547" s="302"/>
      <c r="BB547" s="302"/>
      <c r="BC547" s="302"/>
      <c r="BD547" s="302"/>
      <c r="BE547" s="60"/>
    </row>
    <row r="548" spans="1:57" s="301" customFormat="1">
      <c r="A548" s="57"/>
      <c r="B548" s="57"/>
      <c r="C548" s="57"/>
      <c r="D548" s="57"/>
      <c r="E548" s="57"/>
      <c r="F548" s="57"/>
      <c r="G548" s="57"/>
      <c r="H548" s="57"/>
      <c r="I548" s="300"/>
      <c r="J548" s="57"/>
      <c r="K548" s="57"/>
      <c r="L548" s="57"/>
      <c r="M548" s="57"/>
      <c r="N548" s="57"/>
      <c r="O548" s="57"/>
      <c r="P548" s="146"/>
      <c r="Q548" s="146"/>
      <c r="V548" s="302"/>
      <c r="W548" s="302"/>
      <c r="X548" s="302"/>
      <c r="Y548" s="302"/>
      <c r="Z548" s="302"/>
      <c r="AA548" s="302"/>
      <c r="AB548" s="56"/>
      <c r="AC548" s="302"/>
      <c r="AD548" s="302"/>
      <c r="AE548" s="302"/>
      <c r="AF548" s="302"/>
      <c r="AG548" s="302"/>
      <c r="AH548" s="302"/>
      <c r="AI548" s="302"/>
      <c r="AJ548" s="302"/>
      <c r="AK548" s="302"/>
      <c r="AL548" s="302"/>
      <c r="AM548" s="302"/>
      <c r="AN548" s="302"/>
      <c r="AO548" s="302"/>
      <c r="AP548" s="302"/>
      <c r="AX548" s="302"/>
      <c r="AY548" s="302"/>
      <c r="AZ548" s="302"/>
      <c r="BA548" s="302"/>
      <c r="BB548" s="302"/>
      <c r="BC548" s="302"/>
      <c r="BD548" s="302"/>
      <c r="BE548" s="60"/>
    </row>
    <row r="549" spans="1:57" s="301" customFormat="1">
      <c r="A549" s="57"/>
      <c r="B549" s="57"/>
      <c r="C549" s="57"/>
      <c r="D549" s="57"/>
      <c r="E549" s="57"/>
      <c r="F549" s="57"/>
      <c r="G549" s="57"/>
      <c r="H549" s="57"/>
      <c r="I549" s="300"/>
      <c r="J549" s="57"/>
      <c r="K549" s="57"/>
      <c r="L549" s="57"/>
      <c r="M549" s="57"/>
      <c r="N549" s="57"/>
      <c r="O549" s="57"/>
      <c r="P549" s="146"/>
      <c r="Q549" s="146"/>
      <c r="V549" s="302"/>
      <c r="W549" s="302"/>
      <c r="X549" s="302"/>
      <c r="Y549" s="302"/>
      <c r="Z549" s="302"/>
      <c r="AA549" s="302"/>
      <c r="AB549" s="56"/>
      <c r="AC549" s="302"/>
      <c r="AD549" s="302"/>
      <c r="AE549" s="302"/>
      <c r="AF549" s="302"/>
      <c r="AG549" s="302"/>
      <c r="AH549" s="302"/>
      <c r="AI549" s="302"/>
      <c r="AJ549" s="302"/>
      <c r="AK549" s="302"/>
      <c r="AL549" s="302"/>
      <c r="AM549" s="302"/>
      <c r="AN549" s="302"/>
      <c r="AO549" s="302"/>
      <c r="AP549" s="302"/>
      <c r="AX549" s="302"/>
      <c r="AY549" s="302"/>
      <c r="AZ549" s="302"/>
      <c r="BA549" s="302"/>
      <c r="BB549" s="302"/>
      <c r="BC549" s="302"/>
      <c r="BD549" s="302"/>
      <c r="BE549" s="60"/>
    </row>
    <row r="550" spans="1:57" s="301" customFormat="1">
      <c r="A550" s="57"/>
      <c r="B550" s="57"/>
      <c r="C550" s="57"/>
      <c r="D550" s="57"/>
      <c r="E550" s="57"/>
      <c r="F550" s="57"/>
      <c r="G550" s="57"/>
      <c r="H550" s="57"/>
      <c r="I550" s="300"/>
      <c r="J550" s="57"/>
      <c r="K550" s="57"/>
      <c r="L550" s="57"/>
      <c r="M550" s="57"/>
      <c r="N550" s="57"/>
      <c r="O550" s="57"/>
      <c r="P550" s="146"/>
      <c r="Q550" s="146"/>
      <c r="V550" s="302"/>
      <c r="W550" s="302"/>
      <c r="X550" s="302"/>
      <c r="Y550" s="302"/>
      <c r="Z550" s="302"/>
      <c r="AA550" s="302"/>
      <c r="AB550" s="56"/>
      <c r="AC550" s="302"/>
      <c r="AD550" s="302"/>
      <c r="AE550" s="302"/>
      <c r="AF550" s="302"/>
      <c r="AG550" s="302"/>
      <c r="AH550" s="302"/>
      <c r="AI550" s="302"/>
      <c r="AJ550" s="302"/>
      <c r="AK550" s="302"/>
      <c r="AL550" s="302"/>
      <c r="AM550" s="302"/>
      <c r="AN550" s="302"/>
      <c r="AO550" s="302"/>
      <c r="AP550" s="302"/>
      <c r="AX550" s="302"/>
      <c r="AY550" s="302"/>
      <c r="AZ550" s="302"/>
      <c r="BA550" s="302"/>
      <c r="BB550" s="302"/>
      <c r="BC550" s="302"/>
      <c r="BD550" s="302"/>
      <c r="BE550" s="60"/>
    </row>
    <row r="551" spans="1:57" s="301" customFormat="1">
      <c r="A551" s="57"/>
      <c r="B551" s="57"/>
      <c r="C551" s="57"/>
      <c r="D551" s="57"/>
      <c r="E551" s="57"/>
      <c r="F551" s="57"/>
      <c r="G551" s="57"/>
      <c r="H551" s="57"/>
      <c r="I551" s="300"/>
      <c r="J551" s="57"/>
      <c r="K551" s="57"/>
      <c r="L551" s="57"/>
      <c r="M551" s="57"/>
      <c r="N551" s="57"/>
      <c r="O551" s="57"/>
      <c r="P551" s="146"/>
      <c r="Q551" s="146"/>
      <c r="V551" s="302"/>
      <c r="W551" s="302"/>
      <c r="X551" s="302"/>
      <c r="Y551" s="302"/>
      <c r="Z551" s="302"/>
      <c r="AA551" s="302"/>
      <c r="AB551" s="56"/>
      <c r="AC551" s="302"/>
      <c r="AD551" s="302"/>
      <c r="AE551" s="302"/>
      <c r="AF551" s="302"/>
      <c r="AG551" s="302"/>
      <c r="AH551" s="302"/>
      <c r="AI551" s="302"/>
      <c r="AJ551" s="302"/>
      <c r="AK551" s="302"/>
      <c r="AL551" s="302"/>
      <c r="AM551" s="302"/>
      <c r="AN551" s="302"/>
      <c r="AO551" s="302"/>
      <c r="AP551" s="302"/>
      <c r="AX551" s="302"/>
      <c r="AY551" s="302"/>
      <c r="AZ551" s="302"/>
      <c r="BA551" s="302"/>
      <c r="BB551" s="302"/>
      <c r="BC551" s="302"/>
      <c r="BD551" s="302"/>
      <c r="BE551" s="60"/>
    </row>
    <row r="552" spans="1:57" s="301" customFormat="1">
      <c r="A552" s="57"/>
      <c r="B552" s="57"/>
      <c r="C552" s="57"/>
      <c r="D552" s="57"/>
      <c r="E552" s="57"/>
      <c r="F552" s="57"/>
      <c r="G552" s="57"/>
      <c r="H552" s="57"/>
      <c r="I552" s="300"/>
      <c r="J552" s="57"/>
      <c r="K552" s="57"/>
      <c r="L552" s="57"/>
      <c r="M552" s="57"/>
      <c r="N552" s="57"/>
      <c r="O552" s="57"/>
      <c r="P552" s="146"/>
      <c r="Q552" s="146"/>
      <c r="V552" s="302"/>
      <c r="W552" s="302"/>
      <c r="X552" s="302"/>
      <c r="Y552" s="302"/>
      <c r="Z552" s="302"/>
      <c r="AA552" s="302"/>
      <c r="AB552" s="56"/>
      <c r="AC552" s="302"/>
      <c r="AD552" s="302"/>
      <c r="AE552" s="302"/>
      <c r="AF552" s="302"/>
      <c r="AG552" s="302"/>
      <c r="AH552" s="302"/>
      <c r="AI552" s="302"/>
      <c r="AJ552" s="302"/>
      <c r="AK552" s="302"/>
      <c r="AL552" s="302"/>
      <c r="AM552" s="302"/>
      <c r="AN552" s="302"/>
      <c r="AO552" s="302"/>
      <c r="AP552" s="302"/>
      <c r="AX552" s="302"/>
      <c r="AY552" s="302"/>
      <c r="AZ552" s="302"/>
      <c r="BA552" s="302"/>
      <c r="BB552" s="302"/>
      <c r="BC552" s="302"/>
      <c r="BD552" s="302"/>
      <c r="BE552" s="60"/>
    </row>
    <row r="553" spans="1:57" s="301" customFormat="1">
      <c r="A553" s="57"/>
      <c r="B553" s="57"/>
      <c r="C553" s="57"/>
      <c r="D553" s="57"/>
      <c r="E553" s="57"/>
      <c r="F553" s="57"/>
      <c r="G553" s="57"/>
      <c r="H553" s="57"/>
      <c r="I553" s="300"/>
      <c r="J553" s="57"/>
      <c r="K553" s="57"/>
      <c r="L553" s="57"/>
      <c r="M553" s="57"/>
      <c r="N553" s="57"/>
      <c r="O553" s="57"/>
      <c r="P553" s="146"/>
      <c r="Q553" s="146"/>
      <c r="V553" s="302"/>
      <c r="W553" s="302"/>
      <c r="X553" s="302"/>
      <c r="Y553" s="302"/>
      <c r="Z553" s="302"/>
      <c r="AA553" s="302"/>
      <c r="AB553" s="56"/>
      <c r="AC553" s="302"/>
      <c r="AD553" s="302"/>
      <c r="AE553" s="302"/>
      <c r="AF553" s="302"/>
      <c r="AG553" s="302"/>
      <c r="AH553" s="302"/>
      <c r="AI553" s="302"/>
      <c r="AJ553" s="302"/>
      <c r="AK553" s="302"/>
      <c r="AL553" s="302"/>
      <c r="AM553" s="302"/>
      <c r="AN553" s="302"/>
      <c r="AO553" s="302"/>
      <c r="AP553" s="302"/>
      <c r="AX553" s="302"/>
      <c r="AY553" s="302"/>
      <c r="AZ553" s="302"/>
      <c r="BA553" s="302"/>
      <c r="BB553" s="302"/>
      <c r="BC553" s="302"/>
      <c r="BD553" s="302"/>
      <c r="BE553" s="60"/>
    </row>
    <row r="554" spans="1:57" s="301" customFormat="1">
      <c r="A554" s="57"/>
      <c r="B554" s="57"/>
      <c r="C554" s="57"/>
      <c r="D554" s="57"/>
      <c r="E554" s="57"/>
      <c r="F554" s="57"/>
      <c r="G554" s="57"/>
      <c r="H554" s="57"/>
      <c r="I554" s="300"/>
      <c r="J554" s="57"/>
      <c r="K554" s="57"/>
      <c r="L554" s="57"/>
      <c r="M554" s="57"/>
      <c r="N554" s="57"/>
      <c r="O554" s="57"/>
      <c r="P554" s="146"/>
      <c r="Q554" s="146"/>
      <c r="V554" s="302"/>
      <c r="W554" s="302"/>
      <c r="X554" s="302"/>
      <c r="Y554" s="302"/>
      <c r="Z554" s="302"/>
      <c r="AA554" s="302"/>
      <c r="AB554" s="56"/>
      <c r="AC554" s="302"/>
      <c r="AD554" s="302"/>
      <c r="AE554" s="302"/>
      <c r="AF554" s="302"/>
      <c r="AG554" s="302"/>
      <c r="AH554" s="302"/>
      <c r="AI554" s="302"/>
      <c r="AJ554" s="302"/>
      <c r="AK554" s="302"/>
      <c r="AL554" s="302"/>
      <c r="AM554" s="302"/>
      <c r="AN554" s="302"/>
      <c r="AO554" s="302"/>
      <c r="AP554" s="302"/>
      <c r="AX554" s="302"/>
      <c r="AY554" s="302"/>
      <c r="AZ554" s="302"/>
      <c r="BA554" s="302"/>
      <c r="BB554" s="302"/>
      <c r="BC554" s="302"/>
      <c r="BD554" s="302"/>
      <c r="BE554" s="60"/>
    </row>
    <row r="555" spans="1:57" s="301" customFormat="1">
      <c r="A555" s="57"/>
      <c r="B555" s="57"/>
      <c r="C555" s="57"/>
      <c r="D555" s="57"/>
      <c r="E555" s="57"/>
      <c r="F555" s="57"/>
      <c r="G555" s="57"/>
      <c r="H555" s="57"/>
      <c r="I555" s="300"/>
      <c r="J555" s="57"/>
      <c r="K555" s="57"/>
      <c r="L555" s="57"/>
      <c r="M555" s="57"/>
      <c r="N555" s="57"/>
      <c r="O555" s="57"/>
      <c r="P555" s="146"/>
      <c r="Q555" s="146"/>
      <c r="V555" s="302"/>
      <c r="W555" s="302"/>
      <c r="X555" s="302"/>
      <c r="Y555" s="302"/>
      <c r="Z555" s="302"/>
      <c r="AA555" s="302"/>
      <c r="AB555" s="56"/>
      <c r="AC555" s="302"/>
      <c r="AD555" s="302"/>
      <c r="AE555" s="302"/>
      <c r="AF555" s="302"/>
      <c r="AG555" s="302"/>
      <c r="AH555" s="302"/>
      <c r="AI555" s="302"/>
      <c r="AJ555" s="302"/>
      <c r="AK555" s="302"/>
      <c r="AL555" s="302"/>
      <c r="AM555" s="302"/>
      <c r="AN555" s="302"/>
      <c r="AO555" s="302"/>
      <c r="AP555" s="302"/>
      <c r="AX555" s="302"/>
      <c r="AY555" s="302"/>
      <c r="AZ555" s="302"/>
      <c r="BA555" s="302"/>
      <c r="BB555" s="302"/>
      <c r="BC555" s="302"/>
      <c r="BD555" s="302"/>
      <c r="BE555" s="60"/>
    </row>
    <row r="556" spans="1:57" s="301" customFormat="1">
      <c r="A556" s="57"/>
      <c r="B556" s="57"/>
      <c r="C556" s="57"/>
      <c r="D556" s="57"/>
      <c r="E556" s="57"/>
      <c r="F556" s="57"/>
      <c r="G556" s="57"/>
      <c r="H556" s="57"/>
      <c r="I556" s="300"/>
      <c r="J556" s="57"/>
      <c r="K556" s="57"/>
      <c r="L556" s="57"/>
      <c r="M556" s="57"/>
      <c r="N556" s="57"/>
      <c r="O556" s="57"/>
      <c r="P556" s="146"/>
      <c r="Q556" s="146"/>
      <c r="V556" s="302"/>
      <c r="W556" s="302"/>
      <c r="X556" s="302"/>
      <c r="Y556" s="302"/>
      <c r="Z556" s="302"/>
      <c r="AA556" s="302"/>
      <c r="AB556" s="56"/>
      <c r="AC556" s="302"/>
      <c r="AD556" s="302"/>
      <c r="AE556" s="302"/>
      <c r="AF556" s="302"/>
      <c r="AG556" s="302"/>
      <c r="AH556" s="302"/>
      <c r="AI556" s="302"/>
      <c r="AJ556" s="302"/>
      <c r="AK556" s="302"/>
      <c r="AL556" s="302"/>
      <c r="AM556" s="302"/>
      <c r="AN556" s="302"/>
      <c r="AO556" s="302"/>
      <c r="AP556" s="302"/>
      <c r="AX556" s="302"/>
      <c r="AY556" s="302"/>
      <c r="AZ556" s="302"/>
      <c r="BA556" s="302"/>
      <c r="BB556" s="302"/>
      <c r="BC556" s="302"/>
      <c r="BD556" s="302"/>
      <c r="BE556" s="60"/>
    </row>
    <row r="557" spans="1:57" s="301" customFormat="1">
      <c r="A557" s="57"/>
      <c r="B557" s="57"/>
      <c r="C557" s="57"/>
      <c r="D557" s="57"/>
      <c r="E557" s="57"/>
      <c r="F557" s="57"/>
      <c r="G557" s="57"/>
      <c r="H557" s="57"/>
      <c r="I557" s="300"/>
      <c r="J557" s="57"/>
      <c r="K557" s="57"/>
      <c r="L557" s="57"/>
      <c r="M557" s="57"/>
      <c r="N557" s="57"/>
      <c r="O557" s="57"/>
      <c r="P557" s="146"/>
      <c r="Q557" s="146"/>
      <c r="V557" s="302"/>
      <c r="W557" s="302"/>
      <c r="X557" s="302"/>
      <c r="Y557" s="302"/>
      <c r="Z557" s="302"/>
      <c r="AA557" s="302"/>
      <c r="AB557" s="56"/>
      <c r="AC557" s="302"/>
      <c r="AD557" s="302"/>
      <c r="AE557" s="302"/>
      <c r="AF557" s="302"/>
      <c r="AG557" s="302"/>
      <c r="AH557" s="302"/>
      <c r="AI557" s="302"/>
      <c r="AJ557" s="302"/>
      <c r="AK557" s="302"/>
      <c r="AL557" s="302"/>
      <c r="AM557" s="302"/>
      <c r="AN557" s="302"/>
      <c r="AO557" s="302"/>
      <c r="AP557" s="302"/>
      <c r="AX557" s="302"/>
      <c r="AY557" s="302"/>
      <c r="AZ557" s="302"/>
      <c r="BA557" s="302"/>
      <c r="BB557" s="302"/>
      <c r="BC557" s="302"/>
      <c r="BD557" s="302"/>
      <c r="BE557" s="60"/>
    </row>
    <row r="558" spans="1:57" s="301" customFormat="1">
      <c r="A558" s="57"/>
      <c r="B558" s="57"/>
      <c r="C558" s="57"/>
      <c r="D558" s="57"/>
      <c r="E558" s="57"/>
      <c r="F558" s="57"/>
      <c r="G558" s="57"/>
      <c r="H558" s="57"/>
      <c r="I558" s="300"/>
      <c r="J558" s="57"/>
      <c r="K558" s="57"/>
      <c r="L558" s="57"/>
      <c r="M558" s="57"/>
      <c r="N558" s="57"/>
      <c r="O558" s="57"/>
      <c r="P558" s="146"/>
      <c r="Q558" s="146"/>
      <c r="V558" s="302"/>
      <c r="W558" s="302"/>
      <c r="X558" s="302"/>
      <c r="Y558" s="302"/>
      <c r="Z558" s="302"/>
      <c r="AA558" s="302"/>
      <c r="AB558" s="56"/>
      <c r="AC558" s="302"/>
      <c r="AD558" s="302"/>
      <c r="AE558" s="302"/>
      <c r="AF558" s="302"/>
      <c r="AG558" s="302"/>
      <c r="AH558" s="302"/>
      <c r="AI558" s="302"/>
      <c r="AJ558" s="302"/>
      <c r="AK558" s="302"/>
      <c r="AL558" s="302"/>
      <c r="AM558" s="302"/>
      <c r="AN558" s="302"/>
      <c r="AO558" s="302"/>
      <c r="AP558" s="302"/>
      <c r="AX558" s="302"/>
      <c r="AY558" s="302"/>
      <c r="AZ558" s="302"/>
      <c r="BA558" s="302"/>
      <c r="BB558" s="302"/>
      <c r="BC558" s="302"/>
      <c r="BD558" s="302"/>
      <c r="BE558" s="60"/>
    </row>
    <row r="559" spans="1:57" s="301" customFormat="1">
      <c r="A559" s="57"/>
      <c r="B559" s="57"/>
      <c r="C559" s="57"/>
      <c r="D559" s="57"/>
      <c r="E559" s="57"/>
      <c r="F559" s="57"/>
      <c r="G559" s="57"/>
      <c r="H559" s="57"/>
      <c r="I559" s="300"/>
      <c r="J559" s="57"/>
      <c r="K559" s="57"/>
      <c r="L559" s="57"/>
      <c r="M559" s="57"/>
      <c r="N559" s="57"/>
      <c r="O559" s="57"/>
      <c r="P559" s="146"/>
      <c r="Q559" s="146"/>
      <c r="V559" s="302"/>
      <c r="W559" s="302"/>
      <c r="X559" s="302"/>
      <c r="Y559" s="302"/>
      <c r="Z559" s="302"/>
      <c r="AA559" s="302"/>
      <c r="AB559" s="56"/>
      <c r="AC559" s="302"/>
      <c r="AD559" s="302"/>
      <c r="AE559" s="302"/>
      <c r="AF559" s="302"/>
      <c r="AG559" s="302"/>
      <c r="AH559" s="302"/>
      <c r="AI559" s="302"/>
      <c r="AJ559" s="302"/>
      <c r="AK559" s="302"/>
      <c r="AL559" s="302"/>
      <c r="AM559" s="302"/>
      <c r="AN559" s="302"/>
      <c r="AO559" s="302"/>
      <c r="AP559" s="302"/>
      <c r="AX559" s="302"/>
      <c r="AY559" s="302"/>
      <c r="AZ559" s="302"/>
      <c r="BA559" s="302"/>
      <c r="BB559" s="302"/>
      <c r="BC559" s="302"/>
      <c r="BD559" s="302"/>
      <c r="BE559" s="60"/>
    </row>
    <row r="560" spans="1:57" s="301" customFormat="1">
      <c r="A560" s="57"/>
      <c r="B560" s="57"/>
      <c r="C560" s="57"/>
      <c r="D560" s="57"/>
      <c r="E560" s="57"/>
      <c r="F560" s="57"/>
      <c r="G560" s="57"/>
      <c r="H560" s="57"/>
      <c r="I560" s="300"/>
      <c r="J560" s="57"/>
      <c r="K560" s="57"/>
      <c r="L560" s="57"/>
      <c r="M560" s="57"/>
      <c r="N560" s="57"/>
      <c r="O560" s="57"/>
      <c r="P560" s="146"/>
      <c r="Q560" s="146"/>
      <c r="V560" s="302"/>
      <c r="W560" s="302"/>
      <c r="X560" s="302"/>
      <c r="Y560" s="302"/>
      <c r="Z560" s="302"/>
      <c r="AA560" s="302"/>
      <c r="AB560" s="56"/>
      <c r="AC560" s="302"/>
      <c r="AD560" s="302"/>
      <c r="AE560" s="302"/>
      <c r="AF560" s="302"/>
      <c r="AG560" s="302"/>
      <c r="AH560" s="302"/>
      <c r="AI560" s="302"/>
      <c r="AJ560" s="302"/>
      <c r="AK560" s="302"/>
      <c r="AL560" s="302"/>
      <c r="AM560" s="302"/>
      <c r="AN560" s="302"/>
      <c r="AO560" s="302"/>
      <c r="AP560" s="302"/>
      <c r="AX560" s="302"/>
      <c r="AY560" s="302"/>
      <c r="AZ560" s="302"/>
      <c r="BA560" s="302"/>
      <c r="BB560" s="302"/>
      <c r="BC560" s="302"/>
      <c r="BD560" s="302"/>
      <c r="BE560" s="60"/>
    </row>
    <row r="561" spans="1:57" s="301" customFormat="1">
      <c r="A561" s="57"/>
      <c r="B561" s="57"/>
      <c r="C561" s="57"/>
      <c r="D561" s="57"/>
      <c r="E561" s="57"/>
      <c r="F561" s="57"/>
      <c r="G561" s="57"/>
      <c r="H561" s="57"/>
      <c r="I561" s="300"/>
      <c r="J561" s="57"/>
      <c r="K561" s="57"/>
      <c r="L561" s="57"/>
      <c r="M561" s="57"/>
      <c r="N561" s="57"/>
      <c r="O561" s="57"/>
      <c r="P561" s="146"/>
      <c r="Q561" s="146"/>
      <c r="V561" s="302"/>
      <c r="W561" s="302"/>
      <c r="X561" s="302"/>
      <c r="Y561" s="302"/>
      <c r="Z561" s="302"/>
      <c r="AA561" s="302"/>
      <c r="AB561" s="56"/>
      <c r="AC561" s="302"/>
      <c r="AD561" s="302"/>
      <c r="AE561" s="302"/>
      <c r="AF561" s="302"/>
      <c r="AG561" s="302"/>
      <c r="AH561" s="302"/>
      <c r="AI561" s="302"/>
      <c r="AJ561" s="302"/>
      <c r="AK561" s="302"/>
      <c r="AL561" s="302"/>
      <c r="AM561" s="302"/>
      <c r="AN561" s="302"/>
      <c r="AO561" s="302"/>
      <c r="AP561" s="302"/>
      <c r="AX561" s="302"/>
      <c r="AY561" s="302"/>
      <c r="AZ561" s="302"/>
      <c r="BA561" s="302"/>
      <c r="BB561" s="302"/>
      <c r="BC561" s="302"/>
      <c r="BD561" s="302"/>
      <c r="BE561" s="60"/>
    </row>
    <row r="562" spans="1:57" s="301" customFormat="1">
      <c r="A562" s="57"/>
      <c r="B562" s="57"/>
      <c r="C562" s="57"/>
      <c r="D562" s="57"/>
      <c r="E562" s="57"/>
      <c r="F562" s="57"/>
      <c r="G562" s="57"/>
      <c r="H562" s="57"/>
      <c r="I562" s="300"/>
      <c r="J562" s="57"/>
      <c r="K562" s="57"/>
      <c r="L562" s="57"/>
      <c r="M562" s="57"/>
      <c r="N562" s="57"/>
      <c r="O562" s="57"/>
      <c r="P562" s="146"/>
      <c r="Q562" s="146"/>
      <c r="V562" s="302"/>
      <c r="W562" s="302"/>
      <c r="X562" s="302"/>
      <c r="Y562" s="302"/>
      <c r="Z562" s="302"/>
      <c r="AA562" s="302"/>
      <c r="AB562" s="56"/>
      <c r="AC562" s="302"/>
      <c r="AD562" s="302"/>
      <c r="AE562" s="302"/>
      <c r="AF562" s="302"/>
      <c r="AG562" s="302"/>
      <c r="AH562" s="302"/>
      <c r="AI562" s="302"/>
      <c r="AJ562" s="302"/>
      <c r="AK562" s="302"/>
      <c r="AL562" s="302"/>
      <c r="AM562" s="302"/>
      <c r="AN562" s="302"/>
      <c r="AO562" s="302"/>
      <c r="AP562" s="302"/>
      <c r="AX562" s="302"/>
      <c r="AY562" s="302"/>
      <c r="AZ562" s="302"/>
      <c r="BA562" s="302"/>
      <c r="BB562" s="302"/>
      <c r="BC562" s="302"/>
      <c r="BD562" s="302"/>
      <c r="BE562" s="60"/>
    </row>
    <row r="563" spans="1:57" s="301" customFormat="1">
      <c r="A563" s="57"/>
      <c r="B563" s="57"/>
      <c r="C563" s="57"/>
      <c r="D563" s="57"/>
      <c r="E563" s="57"/>
      <c r="F563" s="57"/>
      <c r="G563" s="57"/>
      <c r="H563" s="57"/>
      <c r="I563" s="300"/>
      <c r="J563" s="57"/>
      <c r="K563" s="57"/>
      <c r="L563" s="57"/>
      <c r="M563" s="57"/>
      <c r="N563" s="57"/>
      <c r="O563" s="57"/>
      <c r="P563" s="146"/>
      <c r="Q563" s="146"/>
      <c r="V563" s="302"/>
      <c r="W563" s="302"/>
      <c r="X563" s="302"/>
      <c r="Y563" s="302"/>
      <c r="Z563" s="302"/>
      <c r="AA563" s="302"/>
      <c r="AB563" s="56"/>
      <c r="AC563" s="302"/>
      <c r="AD563" s="302"/>
      <c r="AE563" s="302"/>
      <c r="AF563" s="302"/>
      <c r="AG563" s="302"/>
      <c r="AH563" s="302"/>
      <c r="AI563" s="302"/>
      <c r="AJ563" s="302"/>
      <c r="AK563" s="302"/>
      <c r="AL563" s="302"/>
      <c r="AM563" s="302"/>
      <c r="AN563" s="302"/>
      <c r="AO563" s="302"/>
      <c r="AP563" s="302"/>
      <c r="AX563" s="302"/>
      <c r="AY563" s="302"/>
      <c r="AZ563" s="302"/>
      <c r="BA563" s="302"/>
      <c r="BB563" s="302"/>
      <c r="BC563" s="302"/>
      <c r="BD563" s="302"/>
      <c r="BE563" s="60"/>
    </row>
    <row r="564" spans="1:57" s="301" customFormat="1">
      <c r="A564" s="57"/>
      <c r="B564" s="57"/>
      <c r="C564" s="57"/>
      <c r="D564" s="57"/>
      <c r="E564" s="57"/>
      <c r="F564" s="57"/>
      <c r="G564" s="57"/>
      <c r="H564" s="57"/>
      <c r="I564" s="300"/>
      <c r="J564" s="57"/>
      <c r="K564" s="57"/>
      <c r="L564" s="57"/>
      <c r="M564" s="57"/>
      <c r="N564" s="57"/>
      <c r="O564" s="57"/>
      <c r="P564" s="146"/>
      <c r="Q564" s="146"/>
      <c r="V564" s="302"/>
      <c r="W564" s="302"/>
      <c r="X564" s="302"/>
      <c r="Y564" s="302"/>
      <c r="Z564" s="302"/>
      <c r="AA564" s="302"/>
      <c r="AB564" s="56"/>
      <c r="AC564" s="302"/>
      <c r="AD564" s="302"/>
      <c r="AE564" s="302"/>
      <c r="AF564" s="302"/>
      <c r="AG564" s="302"/>
      <c r="AH564" s="302"/>
      <c r="AI564" s="302"/>
      <c r="AJ564" s="302"/>
      <c r="AK564" s="302"/>
      <c r="AL564" s="302"/>
      <c r="AM564" s="302"/>
      <c r="AN564" s="302"/>
      <c r="AO564" s="302"/>
      <c r="AP564" s="302"/>
      <c r="AX564" s="302"/>
      <c r="AY564" s="302"/>
      <c r="AZ564" s="302"/>
      <c r="BA564" s="302"/>
      <c r="BB564" s="302"/>
      <c r="BC564" s="302"/>
      <c r="BD564" s="302"/>
      <c r="BE564" s="60"/>
    </row>
    <row r="565" spans="1:57" s="301" customFormat="1">
      <c r="A565" s="57"/>
      <c r="B565" s="57"/>
      <c r="C565" s="57"/>
      <c r="D565" s="57"/>
      <c r="E565" s="57"/>
      <c r="F565" s="57"/>
      <c r="G565" s="57"/>
      <c r="H565" s="57"/>
      <c r="I565" s="300"/>
      <c r="J565" s="57"/>
      <c r="K565" s="57"/>
      <c r="L565" s="57"/>
      <c r="M565" s="57"/>
      <c r="N565" s="57"/>
      <c r="O565" s="57"/>
      <c r="P565" s="146"/>
      <c r="Q565" s="146"/>
      <c r="V565" s="302"/>
      <c r="W565" s="302"/>
      <c r="X565" s="302"/>
      <c r="Y565" s="302"/>
      <c r="Z565" s="302"/>
      <c r="AA565" s="302"/>
      <c r="AB565" s="56"/>
      <c r="AC565" s="302"/>
      <c r="AD565" s="302"/>
      <c r="AE565" s="302"/>
      <c r="AF565" s="302"/>
      <c r="AG565" s="302"/>
      <c r="AH565" s="302"/>
      <c r="AI565" s="302"/>
      <c r="AJ565" s="302"/>
      <c r="AK565" s="302"/>
      <c r="AL565" s="302"/>
      <c r="AM565" s="302"/>
      <c r="AN565" s="302"/>
      <c r="AO565" s="302"/>
      <c r="AP565" s="302"/>
      <c r="AX565" s="302"/>
      <c r="AY565" s="302"/>
      <c r="AZ565" s="302"/>
      <c r="BA565" s="302"/>
      <c r="BB565" s="302"/>
      <c r="BC565" s="302"/>
      <c r="BD565" s="302"/>
      <c r="BE565" s="60"/>
    </row>
    <row r="566" spans="1:57" s="301" customFormat="1">
      <c r="A566" s="57"/>
      <c r="B566" s="57"/>
      <c r="C566" s="57"/>
      <c r="D566" s="57"/>
      <c r="E566" s="57"/>
      <c r="F566" s="57"/>
      <c r="G566" s="57"/>
      <c r="H566" s="57"/>
      <c r="I566" s="300"/>
      <c r="J566" s="57"/>
      <c r="K566" s="57"/>
      <c r="L566" s="57"/>
      <c r="M566" s="57"/>
      <c r="N566" s="57"/>
      <c r="O566" s="57"/>
      <c r="P566" s="146"/>
      <c r="Q566" s="146"/>
      <c r="V566" s="302"/>
      <c r="W566" s="302"/>
      <c r="X566" s="302"/>
      <c r="Y566" s="302"/>
      <c r="Z566" s="302"/>
      <c r="AA566" s="302"/>
      <c r="AB566" s="56"/>
      <c r="AC566" s="302"/>
      <c r="AD566" s="302"/>
      <c r="AE566" s="302"/>
      <c r="AF566" s="302"/>
      <c r="AG566" s="302"/>
      <c r="AH566" s="302"/>
      <c r="AI566" s="302"/>
      <c r="AJ566" s="302"/>
      <c r="AK566" s="302"/>
      <c r="AL566" s="302"/>
      <c r="AM566" s="302"/>
      <c r="AN566" s="302"/>
      <c r="AO566" s="302"/>
      <c r="AP566" s="302"/>
      <c r="AX566" s="302"/>
      <c r="AY566" s="302"/>
      <c r="AZ566" s="302"/>
      <c r="BA566" s="302"/>
      <c r="BB566" s="302"/>
      <c r="BC566" s="302"/>
      <c r="BD566" s="302"/>
      <c r="BE566" s="60"/>
    </row>
    <row r="567" spans="1:57" s="301" customFormat="1">
      <c r="A567" s="57"/>
      <c r="B567" s="57"/>
      <c r="C567" s="57"/>
      <c r="D567" s="57"/>
      <c r="E567" s="57"/>
      <c r="F567" s="57"/>
      <c r="G567" s="57"/>
      <c r="H567" s="57"/>
      <c r="I567" s="300"/>
      <c r="J567" s="57"/>
      <c r="K567" s="57"/>
      <c r="L567" s="57"/>
      <c r="M567" s="57"/>
      <c r="N567" s="57"/>
      <c r="O567" s="57"/>
      <c r="P567" s="146"/>
      <c r="Q567" s="146"/>
      <c r="V567" s="302"/>
      <c r="W567" s="302"/>
      <c r="X567" s="302"/>
      <c r="Y567" s="302"/>
      <c r="Z567" s="302"/>
      <c r="AA567" s="302"/>
      <c r="AB567" s="56"/>
      <c r="AC567" s="302"/>
      <c r="AD567" s="302"/>
      <c r="AE567" s="302"/>
      <c r="AF567" s="302"/>
      <c r="AG567" s="302"/>
      <c r="AH567" s="302"/>
      <c r="AI567" s="302"/>
      <c r="AJ567" s="302"/>
      <c r="AK567" s="302"/>
      <c r="AL567" s="302"/>
      <c r="AM567" s="302"/>
      <c r="AN567" s="302"/>
      <c r="AO567" s="302"/>
      <c r="AP567" s="302"/>
      <c r="AX567" s="302"/>
      <c r="AY567" s="302"/>
      <c r="AZ567" s="302"/>
      <c r="BA567" s="302"/>
      <c r="BB567" s="302"/>
      <c r="BC567" s="302"/>
      <c r="BD567" s="302"/>
      <c r="BE567" s="60"/>
    </row>
    <row r="568" spans="1:57" s="301" customFormat="1">
      <c r="A568" s="57"/>
      <c r="B568" s="57"/>
      <c r="C568" s="57"/>
      <c r="D568" s="57"/>
      <c r="E568" s="57"/>
      <c r="F568" s="57"/>
      <c r="G568" s="57"/>
      <c r="H568" s="57"/>
      <c r="I568" s="300"/>
      <c r="J568" s="57"/>
      <c r="K568" s="57"/>
      <c r="L568" s="57"/>
      <c r="M568" s="57"/>
      <c r="N568" s="57"/>
      <c r="O568" s="57"/>
      <c r="P568" s="146"/>
      <c r="Q568" s="146"/>
      <c r="V568" s="302"/>
      <c r="W568" s="302"/>
      <c r="X568" s="302"/>
      <c r="Y568" s="302"/>
      <c r="Z568" s="302"/>
      <c r="AA568" s="302"/>
      <c r="AB568" s="56"/>
      <c r="AC568" s="302"/>
      <c r="AD568" s="302"/>
      <c r="AE568" s="302"/>
      <c r="AF568" s="302"/>
      <c r="AG568" s="302"/>
      <c r="AH568" s="302"/>
      <c r="AI568" s="302"/>
      <c r="AJ568" s="302"/>
      <c r="AK568" s="302"/>
      <c r="AL568" s="302"/>
      <c r="AM568" s="302"/>
      <c r="AN568" s="302"/>
      <c r="AO568" s="302"/>
      <c r="AP568" s="302"/>
      <c r="AX568" s="302"/>
      <c r="AY568" s="302"/>
      <c r="AZ568" s="302"/>
      <c r="BA568" s="302"/>
      <c r="BB568" s="302"/>
      <c r="BC568" s="302"/>
      <c r="BD568" s="302"/>
      <c r="BE568" s="60"/>
    </row>
    <row r="569" spans="1:57" s="301" customFormat="1">
      <c r="A569" s="57"/>
      <c r="B569" s="57"/>
      <c r="C569" s="57"/>
      <c r="D569" s="57"/>
      <c r="E569" s="57"/>
      <c r="F569" s="57"/>
      <c r="G569" s="57"/>
      <c r="H569" s="57"/>
      <c r="I569" s="300"/>
      <c r="J569" s="57"/>
      <c r="K569" s="57"/>
      <c r="L569" s="57"/>
      <c r="M569" s="57"/>
      <c r="N569" s="57"/>
      <c r="O569" s="57"/>
      <c r="P569" s="146"/>
      <c r="Q569" s="146"/>
      <c r="V569" s="302"/>
      <c r="W569" s="302"/>
      <c r="X569" s="302"/>
      <c r="Y569" s="302"/>
      <c r="Z569" s="302"/>
      <c r="AA569" s="302"/>
      <c r="AB569" s="56"/>
      <c r="AC569" s="302"/>
      <c r="AD569" s="302"/>
      <c r="AE569" s="302"/>
      <c r="AF569" s="302"/>
      <c r="AG569" s="302"/>
      <c r="AH569" s="302"/>
      <c r="AI569" s="302"/>
      <c r="AJ569" s="302"/>
      <c r="AK569" s="302"/>
      <c r="AL569" s="302"/>
      <c r="AM569" s="302"/>
      <c r="AN569" s="302"/>
      <c r="AO569" s="302"/>
      <c r="AP569" s="302"/>
      <c r="AX569" s="302"/>
      <c r="AY569" s="302"/>
      <c r="AZ569" s="302"/>
      <c r="BA569" s="302"/>
      <c r="BB569" s="302"/>
      <c r="BC569" s="302"/>
      <c r="BD569" s="302"/>
      <c r="BE569" s="60"/>
    </row>
    <row r="570" spans="1:57" s="301" customFormat="1">
      <c r="A570" s="57"/>
      <c r="B570" s="57"/>
      <c r="C570" s="57"/>
      <c r="D570" s="57"/>
      <c r="E570" s="57"/>
      <c r="F570" s="57"/>
      <c r="G570" s="57"/>
      <c r="H570" s="57"/>
      <c r="I570" s="300"/>
      <c r="J570" s="57"/>
      <c r="K570" s="57"/>
      <c r="L570" s="57"/>
      <c r="M570" s="57"/>
      <c r="N570" s="57"/>
      <c r="O570" s="57"/>
      <c r="P570" s="146"/>
      <c r="Q570" s="146"/>
      <c r="V570" s="302"/>
      <c r="W570" s="302"/>
      <c r="X570" s="302"/>
      <c r="Y570" s="302"/>
      <c r="Z570" s="302"/>
      <c r="AA570" s="302"/>
      <c r="AB570" s="56"/>
      <c r="AC570" s="302"/>
      <c r="AD570" s="302"/>
      <c r="AE570" s="302"/>
      <c r="AF570" s="302"/>
      <c r="AG570" s="302"/>
      <c r="AH570" s="302"/>
      <c r="AI570" s="302"/>
      <c r="AJ570" s="302"/>
      <c r="AK570" s="302"/>
      <c r="AL570" s="302"/>
      <c r="AM570" s="302"/>
      <c r="AN570" s="302"/>
      <c r="AO570" s="302"/>
      <c r="AP570" s="302"/>
      <c r="AX570" s="302"/>
      <c r="AY570" s="302"/>
      <c r="AZ570" s="302"/>
      <c r="BA570" s="302"/>
      <c r="BB570" s="302"/>
      <c r="BC570" s="302"/>
      <c r="BD570" s="302"/>
      <c r="BE570" s="60"/>
    </row>
    <row r="571" spans="1:57" s="301" customFormat="1">
      <c r="A571" s="57"/>
      <c r="B571" s="57"/>
      <c r="C571" s="57"/>
      <c r="D571" s="57"/>
      <c r="E571" s="57"/>
      <c r="F571" s="57"/>
      <c r="G571" s="57"/>
      <c r="H571" s="57"/>
      <c r="I571" s="300"/>
      <c r="J571" s="57"/>
      <c r="K571" s="57"/>
      <c r="L571" s="57"/>
      <c r="M571" s="57"/>
      <c r="N571" s="57"/>
      <c r="O571" s="57"/>
      <c r="P571" s="146"/>
      <c r="Q571" s="146"/>
      <c r="V571" s="302"/>
      <c r="W571" s="302"/>
      <c r="X571" s="302"/>
      <c r="Y571" s="302"/>
      <c r="Z571" s="302"/>
      <c r="AA571" s="302"/>
      <c r="AB571" s="56"/>
      <c r="AC571" s="302"/>
      <c r="AD571" s="302"/>
      <c r="AE571" s="302"/>
      <c r="AF571" s="302"/>
      <c r="AG571" s="302"/>
      <c r="AH571" s="302"/>
      <c r="AI571" s="302"/>
      <c r="AJ571" s="302"/>
      <c r="AK571" s="302"/>
      <c r="AL571" s="302"/>
      <c r="AM571" s="302"/>
      <c r="AN571" s="302"/>
      <c r="AO571" s="302"/>
      <c r="AP571" s="302"/>
      <c r="AX571" s="302"/>
      <c r="AY571" s="302"/>
      <c r="AZ571" s="302"/>
      <c r="BA571" s="302"/>
      <c r="BB571" s="302"/>
      <c r="BC571" s="302"/>
      <c r="BD571" s="302"/>
      <c r="BE571" s="60"/>
    </row>
    <row r="572" spans="1:57" s="301" customFormat="1">
      <c r="A572" s="57"/>
      <c r="B572" s="57"/>
      <c r="C572" s="57"/>
      <c r="D572" s="57"/>
      <c r="E572" s="57"/>
      <c r="F572" s="57"/>
      <c r="G572" s="57"/>
      <c r="H572" s="57"/>
      <c r="I572" s="300"/>
      <c r="J572" s="57"/>
      <c r="K572" s="57"/>
      <c r="L572" s="57"/>
      <c r="M572" s="57"/>
      <c r="N572" s="57"/>
      <c r="O572" s="57"/>
      <c r="P572" s="146"/>
      <c r="Q572" s="146"/>
      <c r="V572" s="302"/>
      <c r="W572" s="302"/>
      <c r="X572" s="302"/>
      <c r="Y572" s="302"/>
      <c r="Z572" s="302"/>
      <c r="AA572" s="302"/>
      <c r="AB572" s="56"/>
      <c r="AC572" s="302"/>
      <c r="AD572" s="302"/>
      <c r="AE572" s="302"/>
      <c r="AF572" s="302"/>
      <c r="AG572" s="302"/>
      <c r="AH572" s="302"/>
      <c r="AI572" s="302"/>
      <c r="AJ572" s="302"/>
      <c r="AK572" s="302"/>
      <c r="AL572" s="302"/>
      <c r="AM572" s="302"/>
      <c r="AN572" s="302"/>
      <c r="AO572" s="302"/>
      <c r="AP572" s="302"/>
      <c r="AX572" s="302"/>
      <c r="AY572" s="302"/>
      <c r="AZ572" s="302"/>
      <c r="BA572" s="302"/>
      <c r="BB572" s="302"/>
      <c r="BC572" s="302"/>
      <c r="BD572" s="302"/>
      <c r="BE572" s="60"/>
    </row>
    <row r="573" spans="1:57" s="301" customFormat="1">
      <c r="A573" s="57"/>
      <c r="B573" s="57"/>
      <c r="C573" s="57"/>
      <c r="D573" s="57"/>
      <c r="E573" s="57"/>
      <c r="F573" s="57"/>
      <c r="G573" s="57"/>
      <c r="H573" s="57"/>
      <c r="I573" s="300"/>
      <c r="J573" s="57"/>
      <c r="K573" s="57"/>
      <c r="L573" s="57"/>
      <c r="M573" s="57"/>
      <c r="N573" s="57"/>
      <c r="O573" s="57"/>
      <c r="P573" s="146"/>
      <c r="Q573" s="146"/>
      <c r="V573" s="302"/>
      <c r="W573" s="302"/>
      <c r="X573" s="302"/>
      <c r="Y573" s="302"/>
      <c r="Z573" s="302"/>
      <c r="AA573" s="302"/>
      <c r="AB573" s="56"/>
      <c r="AC573" s="302"/>
      <c r="AD573" s="302"/>
      <c r="AE573" s="302"/>
      <c r="AF573" s="302"/>
      <c r="AG573" s="302"/>
      <c r="AH573" s="302"/>
      <c r="AI573" s="302"/>
      <c r="AJ573" s="302"/>
      <c r="AK573" s="302"/>
      <c r="AL573" s="302"/>
      <c r="AM573" s="302"/>
      <c r="AN573" s="302"/>
      <c r="AO573" s="302"/>
      <c r="AP573" s="302"/>
      <c r="AX573" s="302"/>
      <c r="AY573" s="302"/>
      <c r="AZ573" s="302"/>
      <c r="BA573" s="302"/>
      <c r="BB573" s="302"/>
      <c r="BC573" s="302"/>
      <c r="BD573" s="302"/>
      <c r="BE573" s="60"/>
    </row>
    <row r="574" spans="1:57" s="301" customFormat="1">
      <c r="A574" s="57"/>
      <c r="B574" s="57"/>
      <c r="C574" s="57"/>
      <c r="D574" s="57"/>
      <c r="E574" s="57"/>
      <c r="F574" s="57"/>
      <c r="G574" s="57"/>
      <c r="H574" s="57"/>
      <c r="I574" s="300"/>
      <c r="J574" s="57"/>
      <c r="K574" s="57"/>
      <c r="L574" s="57"/>
      <c r="M574" s="57"/>
      <c r="N574" s="57"/>
      <c r="O574" s="57"/>
      <c r="P574" s="146"/>
      <c r="Q574" s="146"/>
      <c r="V574" s="302"/>
      <c r="W574" s="302"/>
      <c r="X574" s="302"/>
      <c r="Y574" s="302"/>
      <c r="Z574" s="302"/>
      <c r="AA574" s="302"/>
      <c r="AB574" s="56"/>
      <c r="AC574" s="302"/>
      <c r="AD574" s="302"/>
      <c r="AE574" s="302"/>
      <c r="AF574" s="302"/>
      <c r="AG574" s="302"/>
      <c r="AH574" s="302"/>
      <c r="AI574" s="302"/>
      <c r="AJ574" s="302"/>
      <c r="AK574" s="302"/>
      <c r="AL574" s="302"/>
      <c r="AM574" s="302"/>
      <c r="AN574" s="302"/>
      <c r="AO574" s="302"/>
      <c r="AP574" s="302"/>
      <c r="AX574" s="302"/>
      <c r="AY574" s="302"/>
      <c r="AZ574" s="302"/>
      <c r="BA574" s="302"/>
      <c r="BB574" s="302"/>
      <c r="BC574" s="302"/>
      <c r="BD574" s="302"/>
      <c r="BE574" s="60"/>
    </row>
    <row r="575" spans="1:57" s="301" customFormat="1">
      <c r="A575" s="57"/>
      <c r="B575" s="57"/>
      <c r="C575" s="57"/>
      <c r="D575" s="57"/>
      <c r="E575" s="57"/>
      <c r="F575" s="57"/>
      <c r="G575" s="57"/>
      <c r="H575" s="57"/>
      <c r="I575" s="300"/>
      <c r="J575" s="57"/>
      <c r="K575" s="57"/>
      <c r="L575" s="57"/>
      <c r="M575" s="57"/>
      <c r="N575" s="57"/>
      <c r="O575" s="57"/>
      <c r="P575" s="146"/>
      <c r="Q575" s="146"/>
      <c r="V575" s="302"/>
      <c r="W575" s="302"/>
      <c r="X575" s="302"/>
      <c r="Y575" s="302"/>
      <c r="Z575" s="302"/>
      <c r="AA575" s="302"/>
      <c r="AB575" s="56"/>
      <c r="AC575" s="302"/>
      <c r="AD575" s="302"/>
      <c r="AE575" s="302"/>
      <c r="AF575" s="302"/>
      <c r="AG575" s="302"/>
      <c r="AH575" s="302"/>
      <c r="AI575" s="302"/>
      <c r="AJ575" s="302"/>
      <c r="AK575" s="302"/>
      <c r="AL575" s="302"/>
      <c r="AM575" s="302"/>
      <c r="AN575" s="302"/>
      <c r="AO575" s="302"/>
      <c r="AP575" s="302"/>
      <c r="AX575" s="302"/>
      <c r="AY575" s="302"/>
      <c r="AZ575" s="302"/>
      <c r="BA575" s="302"/>
      <c r="BB575" s="302"/>
      <c r="BC575" s="302"/>
      <c r="BD575" s="302"/>
      <c r="BE575" s="60"/>
    </row>
    <row r="576" spans="1:57" s="301" customFormat="1">
      <c r="A576" s="57"/>
      <c r="B576" s="57"/>
      <c r="C576" s="57"/>
      <c r="D576" s="57"/>
      <c r="E576" s="57"/>
      <c r="F576" s="57"/>
      <c r="G576" s="57"/>
      <c r="H576" s="57"/>
      <c r="I576" s="300"/>
      <c r="J576" s="57"/>
      <c r="K576" s="57"/>
      <c r="L576" s="57"/>
      <c r="M576" s="57"/>
      <c r="N576" s="57"/>
      <c r="O576" s="57"/>
      <c r="P576" s="146"/>
      <c r="Q576" s="146"/>
      <c r="V576" s="302"/>
      <c r="W576" s="302"/>
      <c r="X576" s="302"/>
      <c r="Y576" s="302"/>
      <c r="Z576" s="302"/>
      <c r="AA576" s="302"/>
      <c r="AB576" s="56"/>
      <c r="AC576" s="302"/>
      <c r="AD576" s="302"/>
      <c r="AE576" s="302"/>
      <c r="AF576" s="302"/>
      <c r="AG576" s="302"/>
      <c r="AH576" s="302"/>
      <c r="AI576" s="302"/>
      <c r="AJ576" s="302"/>
      <c r="AK576" s="302"/>
      <c r="AL576" s="302"/>
      <c r="AM576" s="302"/>
      <c r="AN576" s="302"/>
      <c r="AO576" s="302"/>
      <c r="AP576" s="302"/>
      <c r="AX576" s="302"/>
      <c r="AY576" s="302"/>
      <c r="AZ576" s="302"/>
      <c r="BA576" s="302"/>
      <c r="BB576" s="302"/>
      <c r="BC576" s="302"/>
      <c r="BD576" s="302"/>
      <c r="BE576" s="60"/>
    </row>
    <row r="577" spans="1:57" s="301" customFormat="1">
      <c r="A577" s="57"/>
      <c r="B577" s="57"/>
      <c r="C577" s="57"/>
      <c r="D577" s="57"/>
      <c r="E577" s="57"/>
      <c r="F577" s="57"/>
      <c r="G577" s="57"/>
      <c r="H577" s="57"/>
      <c r="I577" s="300"/>
      <c r="J577" s="57"/>
      <c r="K577" s="57"/>
      <c r="L577" s="57"/>
      <c r="M577" s="57"/>
      <c r="N577" s="57"/>
      <c r="O577" s="57"/>
      <c r="P577" s="146"/>
      <c r="Q577" s="146"/>
      <c r="V577" s="302"/>
      <c r="W577" s="302"/>
      <c r="X577" s="302"/>
      <c r="Y577" s="302"/>
      <c r="Z577" s="302"/>
      <c r="AA577" s="302"/>
      <c r="AB577" s="56"/>
      <c r="AC577" s="302"/>
      <c r="AD577" s="302"/>
      <c r="AE577" s="302"/>
      <c r="AF577" s="302"/>
      <c r="AG577" s="302"/>
      <c r="AH577" s="302"/>
      <c r="AI577" s="302"/>
      <c r="AJ577" s="302"/>
      <c r="AK577" s="302"/>
      <c r="AL577" s="302"/>
      <c r="AM577" s="302"/>
      <c r="AN577" s="302"/>
      <c r="AO577" s="302"/>
      <c r="AP577" s="302"/>
      <c r="AX577" s="302"/>
      <c r="AY577" s="302"/>
      <c r="AZ577" s="302"/>
      <c r="BA577" s="302"/>
      <c r="BB577" s="302"/>
      <c r="BC577" s="302"/>
      <c r="BD577" s="302"/>
      <c r="BE577" s="60"/>
    </row>
    <row r="578" spans="1:57" s="301" customFormat="1">
      <c r="A578" s="57"/>
      <c r="B578" s="57"/>
      <c r="C578" s="57"/>
      <c r="D578" s="57"/>
      <c r="E578" s="57"/>
      <c r="F578" s="57"/>
      <c r="G578" s="57"/>
      <c r="H578" s="57"/>
      <c r="I578" s="300"/>
      <c r="J578" s="57"/>
      <c r="K578" s="57"/>
      <c r="L578" s="57"/>
      <c r="M578" s="57"/>
      <c r="N578" s="57"/>
      <c r="O578" s="57"/>
      <c r="P578" s="146"/>
      <c r="Q578" s="146"/>
      <c r="V578" s="302"/>
      <c r="W578" s="302"/>
      <c r="X578" s="302"/>
      <c r="Y578" s="302"/>
      <c r="Z578" s="302"/>
      <c r="AA578" s="302"/>
      <c r="AB578" s="56"/>
      <c r="AC578" s="302"/>
      <c r="AD578" s="302"/>
      <c r="AE578" s="302"/>
      <c r="AF578" s="302"/>
      <c r="AG578" s="302"/>
      <c r="AH578" s="302"/>
      <c r="AI578" s="302"/>
      <c r="AJ578" s="302"/>
      <c r="AK578" s="302"/>
      <c r="AL578" s="302"/>
      <c r="AM578" s="302"/>
      <c r="AN578" s="302"/>
      <c r="AO578" s="302"/>
      <c r="AP578" s="302"/>
      <c r="AX578" s="302"/>
      <c r="AY578" s="302"/>
      <c r="AZ578" s="302"/>
      <c r="BA578" s="302"/>
      <c r="BB578" s="302"/>
      <c r="BC578" s="302"/>
      <c r="BD578" s="302"/>
      <c r="BE578" s="60"/>
    </row>
    <row r="579" spans="1:57" s="301" customFormat="1">
      <c r="A579" s="57"/>
      <c r="B579" s="57"/>
      <c r="C579" s="57"/>
      <c r="D579" s="57"/>
      <c r="E579" s="57"/>
      <c r="F579" s="57"/>
      <c r="G579" s="57"/>
      <c r="H579" s="57"/>
      <c r="I579" s="300"/>
      <c r="J579" s="57"/>
      <c r="K579" s="57"/>
      <c r="L579" s="57"/>
      <c r="M579" s="57"/>
      <c r="N579" s="57"/>
      <c r="O579" s="57"/>
      <c r="P579" s="146"/>
      <c r="Q579" s="146"/>
      <c r="V579" s="302"/>
      <c r="W579" s="302"/>
      <c r="X579" s="302"/>
      <c r="Y579" s="302"/>
      <c r="Z579" s="302"/>
      <c r="AA579" s="302"/>
      <c r="AB579" s="56"/>
      <c r="AC579" s="302"/>
      <c r="AD579" s="302"/>
      <c r="AE579" s="302"/>
      <c r="AF579" s="302"/>
      <c r="AG579" s="302"/>
      <c r="AH579" s="302"/>
      <c r="AI579" s="302"/>
      <c r="AJ579" s="302"/>
      <c r="AK579" s="302"/>
      <c r="AL579" s="302"/>
      <c r="AM579" s="302"/>
      <c r="AN579" s="302"/>
      <c r="AO579" s="302"/>
      <c r="AP579" s="302"/>
      <c r="AX579" s="302"/>
      <c r="AY579" s="302"/>
      <c r="AZ579" s="302"/>
      <c r="BA579" s="302"/>
      <c r="BB579" s="302"/>
      <c r="BC579" s="302"/>
      <c r="BD579" s="302"/>
      <c r="BE579" s="60"/>
    </row>
    <row r="580" spans="1:57" s="301" customFormat="1">
      <c r="A580" s="57"/>
      <c r="B580" s="57"/>
      <c r="C580" s="57"/>
      <c r="D580" s="57"/>
      <c r="E580" s="57"/>
      <c r="F580" s="57"/>
      <c r="G580" s="57"/>
      <c r="H580" s="57"/>
      <c r="I580" s="300"/>
      <c r="J580" s="57"/>
      <c r="K580" s="57"/>
      <c r="L580" s="57"/>
      <c r="M580" s="57"/>
      <c r="N580" s="57"/>
      <c r="O580" s="57"/>
      <c r="P580" s="146"/>
      <c r="Q580" s="146"/>
      <c r="V580" s="302"/>
      <c r="W580" s="302"/>
      <c r="X580" s="302"/>
      <c r="Y580" s="302"/>
      <c r="Z580" s="302"/>
      <c r="AA580" s="302"/>
      <c r="AB580" s="56"/>
      <c r="AC580" s="302"/>
      <c r="AD580" s="302"/>
      <c r="AE580" s="302"/>
      <c r="AF580" s="302"/>
      <c r="AG580" s="302"/>
      <c r="AH580" s="302"/>
      <c r="AI580" s="302"/>
      <c r="AJ580" s="302"/>
      <c r="AK580" s="302"/>
      <c r="AL580" s="302"/>
      <c r="AM580" s="302"/>
      <c r="AN580" s="302"/>
      <c r="AO580" s="302"/>
      <c r="AP580" s="302"/>
      <c r="AX580" s="302"/>
      <c r="AY580" s="302"/>
      <c r="AZ580" s="302"/>
      <c r="BA580" s="302"/>
      <c r="BB580" s="302"/>
      <c r="BC580" s="302"/>
      <c r="BD580" s="302"/>
      <c r="BE580" s="60"/>
    </row>
    <row r="581" spans="1:57" s="301" customFormat="1">
      <c r="A581" s="57"/>
      <c r="B581" s="57"/>
      <c r="C581" s="57"/>
      <c r="D581" s="57"/>
      <c r="E581" s="57"/>
      <c r="F581" s="57"/>
      <c r="G581" s="57"/>
      <c r="H581" s="57"/>
      <c r="I581" s="300"/>
      <c r="J581" s="57"/>
      <c r="K581" s="57"/>
      <c r="L581" s="57"/>
      <c r="M581" s="57"/>
      <c r="N581" s="57"/>
      <c r="O581" s="57"/>
      <c r="P581" s="146"/>
      <c r="Q581" s="146"/>
      <c r="V581" s="302"/>
      <c r="W581" s="302"/>
      <c r="X581" s="302"/>
      <c r="Y581" s="302"/>
      <c r="Z581" s="302"/>
      <c r="AA581" s="302"/>
      <c r="AB581" s="56"/>
      <c r="AC581" s="302"/>
      <c r="AD581" s="302"/>
      <c r="AE581" s="302"/>
      <c r="AF581" s="302"/>
      <c r="AG581" s="302"/>
      <c r="AH581" s="302"/>
      <c r="AI581" s="302"/>
      <c r="AJ581" s="302"/>
      <c r="AK581" s="302"/>
      <c r="AL581" s="302"/>
      <c r="AM581" s="302"/>
      <c r="AN581" s="302"/>
      <c r="AO581" s="302"/>
      <c r="AP581" s="302"/>
      <c r="AX581" s="302"/>
      <c r="AY581" s="302"/>
      <c r="AZ581" s="302"/>
      <c r="BA581" s="302"/>
      <c r="BB581" s="302"/>
      <c r="BC581" s="302"/>
      <c r="BD581" s="302"/>
      <c r="BE581" s="60"/>
    </row>
    <row r="582" spans="1:57" s="301" customFormat="1">
      <c r="A582" s="57"/>
      <c r="B582" s="57"/>
      <c r="C582" s="57"/>
      <c r="D582" s="57"/>
      <c r="E582" s="57"/>
      <c r="F582" s="57"/>
      <c r="G582" s="57"/>
      <c r="H582" s="57"/>
      <c r="I582" s="300"/>
      <c r="J582" s="57"/>
      <c r="K582" s="57"/>
      <c r="L582" s="57"/>
      <c r="M582" s="57"/>
      <c r="N582" s="57"/>
      <c r="O582" s="57"/>
      <c r="P582" s="146"/>
      <c r="Q582" s="146"/>
      <c r="V582" s="302"/>
      <c r="W582" s="302"/>
      <c r="X582" s="302"/>
      <c r="Y582" s="302"/>
      <c r="Z582" s="302"/>
      <c r="AA582" s="302"/>
      <c r="AB582" s="56"/>
      <c r="AC582" s="302"/>
      <c r="AD582" s="302"/>
      <c r="AE582" s="302"/>
      <c r="AF582" s="302"/>
      <c r="AG582" s="302"/>
      <c r="AH582" s="302"/>
      <c r="AI582" s="302"/>
      <c r="AJ582" s="302"/>
      <c r="AK582" s="302"/>
      <c r="AL582" s="302"/>
      <c r="AM582" s="302"/>
      <c r="AN582" s="302"/>
      <c r="AO582" s="302"/>
      <c r="AP582" s="302"/>
      <c r="AX582" s="302"/>
      <c r="AY582" s="302"/>
      <c r="AZ582" s="302"/>
      <c r="BA582" s="302"/>
      <c r="BB582" s="302"/>
      <c r="BC582" s="302"/>
      <c r="BD582" s="302"/>
      <c r="BE582" s="60"/>
    </row>
    <row r="583" spans="1:57" s="301" customFormat="1">
      <c r="A583" s="57"/>
      <c r="B583" s="57"/>
      <c r="C583" s="57"/>
      <c r="D583" s="57"/>
      <c r="E583" s="57"/>
      <c r="F583" s="57"/>
      <c r="G583" s="57"/>
      <c r="H583" s="57"/>
      <c r="I583" s="300"/>
      <c r="J583" s="57"/>
      <c r="K583" s="57"/>
      <c r="L583" s="57"/>
      <c r="M583" s="57"/>
      <c r="N583" s="57"/>
      <c r="O583" s="57"/>
      <c r="P583" s="146"/>
      <c r="Q583" s="146"/>
      <c r="V583" s="302"/>
      <c r="W583" s="302"/>
      <c r="X583" s="302"/>
      <c r="Y583" s="302"/>
      <c r="Z583" s="302"/>
      <c r="AA583" s="302"/>
      <c r="AB583" s="56"/>
      <c r="AC583" s="302"/>
      <c r="AD583" s="302"/>
      <c r="AE583" s="302"/>
      <c r="AF583" s="302"/>
      <c r="AG583" s="302"/>
      <c r="AH583" s="302"/>
      <c r="AI583" s="302"/>
      <c r="AJ583" s="302"/>
      <c r="AK583" s="302"/>
      <c r="AL583" s="302"/>
      <c r="AM583" s="302"/>
      <c r="AN583" s="302"/>
      <c r="AO583" s="302"/>
      <c r="AP583" s="302"/>
      <c r="AX583" s="302"/>
      <c r="AY583" s="302"/>
      <c r="AZ583" s="302"/>
      <c r="BA583" s="302"/>
      <c r="BB583" s="302"/>
      <c r="BC583" s="302"/>
      <c r="BD583" s="302"/>
      <c r="BE583" s="60"/>
    </row>
    <row r="584" spans="1:57" s="301" customFormat="1">
      <c r="A584" s="57"/>
      <c r="B584" s="57"/>
      <c r="C584" s="57"/>
      <c r="D584" s="57"/>
      <c r="E584" s="57"/>
      <c r="F584" s="57"/>
      <c r="G584" s="57"/>
      <c r="H584" s="57"/>
      <c r="I584" s="300"/>
      <c r="J584" s="57"/>
      <c r="K584" s="57"/>
      <c r="L584" s="57"/>
      <c r="M584" s="57"/>
      <c r="N584" s="57"/>
      <c r="O584" s="57"/>
      <c r="P584" s="146"/>
      <c r="Q584" s="146"/>
      <c r="V584" s="302"/>
      <c r="W584" s="302"/>
      <c r="X584" s="302"/>
      <c r="Y584" s="302"/>
      <c r="Z584" s="302"/>
      <c r="AA584" s="302"/>
      <c r="AB584" s="56"/>
      <c r="AC584" s="302"/>
      <c r="AD584" s="302"/>
      <c r="AE584" s="302"/>
      <c r="AF584" s="302"/>
      <c r="AG584" s="302"/>
      <c r="AH584" s="302"/>
      <c r="AI584" s="302"/>
      <c r="AJ584" s="302"/>
      <c r="AK584" s="302"/>
      <c r="AL584" s="302"/>
      <c r="AM584" s="302"/>
      <c r="AN584" s="302"/>
      <c r="AO584" s="302"/>
      <c r="AP584" s="302"/>
      <c r="AX584" s="302"/>
      <c r="AY584" s="302"/>
      <c r="AZ584" s="302"/>
      <c r="BA584" s="302"/>
      <c r="BB584" s="302"/>
      <c r="BC584" s="302"/>
      <c r="BD584" s="302"/>
      <c r="BE584" s="60"/>
    </row>
    <row r="585" spans="1:57" s="301" customFormat="1">
      <c r="A585" s="57"/>
      <c r="B585" s="57"/>
      <c r="C585" s="57"/>
      <c r="D585" s="57"/>
      <c r="E585" s="57"/>
      <c r="F585" s="57"/>
      <c r="G585" s="57"/>
      <c r="H585" s="57"/>
      <c r="I585" s="300"/>
      <c r="J585" s="57"/>
      <c r="K585" s="57"/>
      <c r="L585" s="57"/>
      <c r="M585" s="57"/>
      <c r="N585" s="57"/>
      <c r="O585" s="57"/>
      <c r="P585" s="146"/>
      <c r="Q585" s="146"/>
      <c r="V585" s="302"/>
      <c r="W585" s="302"/>
      <c r="X585" s="302"/>
      <c r="Y585" s="302"/>
      <c r="Z585" s="302"/>
      <c r="AA585" s="302"/>
      <c r="AB585" s="56"/>
      <c r="AC585" s="302"/>
      <c r="AD585" s="302"/>
      <c r="AE585" s="302"/>
      <c r="AF585" s="302"/>
      <c r="AG585" s="302"/>
      <c r="AH585" s="302"/>
      <c r="AI585" s="302"/>
      <c r="AJ585" s="302"/>
      <c r="AK585" s="302"/>
      <c r="AL585" s="302"/>
      <c r="AM585" s="302"/>
      <c r="AN585" s="302"/>
      <c r="AO585" s="302"/>
      <c r="AP585" s="302"/>
      <c r="AX585" s="302"/>
      <c r="AY585" s="302"/>
      <c r="AZ585" s="302"/>
      <c r="BA585" s="302"/>
      <c r="BB585" s="302"/>
      <c r="BC585" s="302"/>
      <c r="BD585" s="302"/>
      <c r="BE585" s="60"/>
    </row>
    <row r="586" spans="1:57" s="301" customFormat="1">
      <c r="A586" s="57"/>
      <c r="B586" s="57"/>
      <c r="C586" s="57"/>
      <c r="D586" s="57"/>
      <c r="E586" s="57"/>
      <c r="F586" s="57"/>
      <c r="G586" s="57"/>
      <c r="H586" s="57"/>
      <c r="I586" s="300"/>
      <c r="J586" s="57"/>
      <c r="K586" s="57"/>
      <c r="L586" s="57"/>
      <c r="M586" s="57"/>
      <c r="N586" s="57"/>
      <c r="O586" s="57"/>
      <c r="P586" s="146"/>
      <c r="Q586" s="146"/>
      <c r="V586" s="302"/>
      <c r="W586" s="302"/>
      <c r="X586" s="302"/>
      <c r="Y586" s="302"/>
      <c r="Z586" s="302"/>
      <c r="AA586" s="302"/>
      <c r="AB586" s="56"/>
      <c r="AC586" s="302"/>
      <c r="AD586" s="302"/>
      <c r="AE586" s="302"/>
      <c r="AF586" s="302"/>
      <c r="AG586" s="302"/>
      <c r="AH586" s="302"/>
      <c r="AI586" s="302"/>
      <c r="AJ586" s="302"/>
      <c r="AK586" s="302"/>
      <c r="AL586" s="302"/>
      <c r="AM586" s="302"/>
      <c r="AN586" s="302"/>
      <c r="AO586" s="302"/>
      <c r="AP586" s="302"/>
      <c r="AX586" s="302"/>
      <c r="AY586" s="302"/>
      <c r="AZ586" s="302"/>
      <c r="BA586" s="302"/>
      <c r="BB586" s="302"/>
      <c r="BC586" s="302"/>
      <c r="BD586" s="302"/>
      <c r="BE586" s="60"/>
    </row>
    <row r="587" spans="1:57" s="301" customFormat="1">
      <c r="A587" s="57"/>
      <c r="B587" s="57"/>
      <c r="C587" s="57"/>
      <c r="D587" s="57"/>
      <c r="E587" s="57"/>
      <c r="F587" s="57"/>
      <c r="G587" s="57"/>
      <c r="H587" s="57"/>
      <c r="I587" s="300"/>
      <c r="J587" s="57"/>
      <c r="K587" s="57"/>
      <c r="L587" s="57"/>
      <c r="M587" s="57"/>
      <c r="N587" s="57"/>
      <c r="O587" s="57"/>
      <c r="P587" s="146"/>
      <c r="Q587" s="146"/>
      <c r="V587" s="302"/>
      <c r="W587" s="302"/>
      <c r="X587" s="302"/>
      <c r="Y587" s="302"/>
      <c r="Z587" s="302"/>
      <c r="AA587" s="302"/>
      <c r="AB587" s="56"/>
      <c r="AC587" s="302"/>
      <c r="AD587" s="302"/>
      <c r="AE587" s="302"/>
      <c r="AF587" s="302"/>
      <c r="AG587" s="302"/>
      <c r="AH587" s="302"/>
      <c r="AI587" s="302"/>
      <c r="AJ587" s="302"/>
      <c r="AK587" s="302"/>
      <c r="AL587" s="302"/>
      <c r="AM587" s="302"/>
      <c r="AN587" s="302"/>
      <c r="AO587" s="302"/>
      <c r="AP587" s="302"/>
      <c r="AX587" s="302"/>
      <c r="AY587" s="302"/>
      <c r="AZ587" s="302"/>
      <c r="BA587" s="302"/>
      <c r="BB587" s="302"/>
      <c r="BC587" s="302"/>
      <c r="BD587" s="302"/>
      <c r="BE587" s="60"/>
    </row>
    <row r="588" spans="1:57" s="301" customFormat="1">
      <c r="A588" s="57"/>
      <c r="B588" s="57"/>
      <c r="C588" s="57"/>
      <c r="D588" s="57"/>
      <c r="E588" s="57"/>
      <c r="F588" s="57"/>
      <c r="G588" s="57"/>
      <c r="H588" s="57"/>
      <c r="I588" s="300"/>
      <c r="J588" s="57"/>
      <c r="K588" s="57"/>
      <c r="L588" s="57"/>
      <c r="M588" s="57"/>
      <c r="N588" s="57"/>
      <c r="O588" s="57"/>
      <c r="P588" s="146"/>
      <c r="Q588" s="146"/>
      <c r="V588" s="302"/>
      <c r="W588" s="302"/>
      <c r="X588" s="302"/>
      <c r="Y588" s="302"/>
      <c r="Z588" s="302"/>
      <c r="AA588" s="302"/>
      <c r="AB588" s="56"/>
      <c r="AC588" s="302"/>
      <c r="AD588" s="302"/>
      <c r="AE588" s="302"/>
      <c r="AF588" s="302"/>
      <c r="AG588" s="302"/>
      <c r="AH588" s="302"/>
      <c r="AI588" s="302"/>
      <c r="AJ588" s="302"/>
      <c r="AK588" s="302"/>
      <c r="AL588" s="302"/>
      <c r="AM588" s="302"/>
      <c r="AN588" s="302"/>
      <c r="AO588" s="302"/>
      <c r="AP588" s="302"/>
      <c r="AX588" s="302"/>
      <c r="AY588" s="302"/>
      <c r="AZ588" s="302"/>
      <c r="BA588" s="302"/>
      <c r="BB588" s="302"/>
      <c r="BC588" s="302"/>
      <c r="BD588" s="302"/>
      <c r="BE588" s="60"/>
    </row>
    <row r="589" spans="1:57" s="301" customFormat="1">
      <c r="A589" s="57"/>
      <c r="B589" s="57"/>
      <c r="C589" s="57"/>
      <c r="D589" s="57"/>
      <c r="E589" s="57"/>
      <c r="F589" s="57"/>
      <c r="G589" s="57"/>
      <c r="H589" s="57"/>
      <c r="I589" s="300"/>
      <c r="J589" s="57"/>
      <c r="K589" s="57"/>
      <c r="L589" s="57"/>
      <c r="M589" s="57"/>
      <c r="N589" s="57"/>
      <c r="O589" s="57"/>
      <c r="P589" s="146"/>
      <c r="Q589" s="146"/>
      <c r="V589" s="302"/>
      <c r="W589" s="302"/>
      <c r="X589" s="302"/>
      <c r="Y589" s="302"/>
      <c r="Z589" s="302"/>
      <c r="AA589" s="302"/>
      <c r="AB589" s="56"/>
      <c r="AC589" s="302"/>
      <c r="AD589" s="302"/>
      <c r="AE589" s="302"/>
      <c r="AF589" s="302"/>
      <c r="AG589" s="302"/>
      <c r="AH589" s="302"/>
      <c r="AI589" s="302"/>
      <c r="AJ589" s="302"/>
      <c r="AK589" s="302"/>
      <c r="AL589" s="302"/>
      <c r="AM589" s="302"/>
      <c r="AN589" s="302"/>
      <c r="AO589" s="302"/>
      <c r="AP589" s="302"/>
      <c r="AX589" s="302"/>
      <c r="AY589" s="302"/>
      <c r="AZ589" s="302"/>
      <c r="BA589" s="302"/>
      <c r="BB589" s="302"/>
      <c r="BC589" s="302"/>
      <c r="BD589" s="302"/>
      <c r="BE589" s="60"/>
    </row>
    <row r="590" spans="1:57" s="301" customFormat="1">
      <c r="A590" s="57"/>
      <c r="B590" s="57"/>
      <c r="C590" s="57"/>
      <c r="D590" s="57"/>
      <c r="E590" s="57"/>
      <c r="F590" s="57"/>
      <c r="G590" s="57"/>
      <c r="H590" s="57"/>
      <c r="I590" s="300"/>
      <c r="J590" s="57"/>
      <c r="K590" s="57"/>
      <c r="L590" s="57"/>
      <c r="M590" s="57"/>
      <c r="N590" s="57"/>
      <c r="O590" s="57"/>
      <c r="P590" s="146"/>
      <c r="Q590" s="146"/>
      <c r="V590" s="302"/>
      <c r="W590" s="302"/>
      <c r="X590" s="302"/>
      <c r="Y590" s="302"/>
      <c r="Z590" s="302"/>
      <c r="AA590" s="302"/>
      <c r="AB590" s="56"/>
      <c r="AC590" s="302"/>
      <c r="AD590" s="302"/>
      <c r="AE590" s="302"/>
      <c r="AF590" s="302"/>
      <c r="AG590" s="302"/>
      <c r="AH590" s="302"/>
      <c r="AI590" s="302"/>
      <c r="AJ590" s="302"/>
      <c r="AK590" s="302"/>
      <c r="AL590" s="302"/>
      <c r="AM590" s="302"/>
      <c r="AN590" s="302"/>
      <c r="AO590" s="302"/>
      <c r="AP590" s="302"/>
      <c r="AX590" s="302"/>
      <c r="AY590" s="302"/>
      <c r="AZ590" s="302"/>
      <c r="BA590" s="302"/>
      <c r="BB590" s="302"/>
      <c r="BC590" s="302"/>
      <c r="BD590" s="302"/>
      <c r="BE590" s="60"/>
    </row>
    <row r="591" spans="1:57" s="301" customFormat="1">
      <c r="A591" s="57"/>
      <c r="B591" s="57"/>
      <c r="C591" s="57"/>
      <c r="D591" s="57"/>
      <c r="E591" s="57"/>
      <c r="F591" s="57"/>
      <c r="G591" s="57"/>
      <c r="H591" s="57"/>
      <c r="I591" s="300"/>
      <c r="J591" s="57"/>
      <c r="K591" s="57"/>
      <c r="L591" s="57"/>
      <c r="M591" s="57"/>
      <c r="N591" s="57"/>
      <c r="O591" s="57"/>
      <c r="P591" s="146"/>
      <c r="Q591" s="146"/>
      <c r="V591" s="302"/>
      <c r="W591" s="302"/>
      <c r="X591" s="302"/>
      <c r="Y591" s="302"/>
      <c r="Z591" s="302"/>
      <c r="AA591" s="302"/>
      <c r="AB591" s="56"/>
      <c r="AC591" s="302"/>
      <c r="AD591" s="302"/>
      <c r="AE591" s="302"/>
      <c r="AF591" s="302"/>
      <c r="AG591" s="302"/>
      <c r="AH591" s="302"/>
      <c r="AI591" s="302"/>
      <c r="AJ591" s="302"/>
      <c r="AK591" s="302"/>
      <c r="AL591" s="302"/>
      <c r="AM591" s="302"/>
      <c r="AN591" s="302"/>
      <c r="AO591" s="302"/>
      <c r="AP591" s="302"/>
      <c r="AX591" s="302"/>
      <c r="AY591" s="302"/>
      <c r="AZ591" s="302"/>
      <c r="BA591" s="302"/>
      <c r="BB591" s="302"/>
      <c r="BC591" s="302"/>
      <c r="BD591" s="302"/>
      <c r="BE591" s="60"/>
    </row>
    <row r="592" spans="1:57" s="301" customFormat="1">
      <c r="A592" s="57"/>
      <c r="B592" s="57"/>
      <c r="C592" s="57"/>
      <c r="D592" s="57"/>
      <c r="E592" s="57"/>
      <c r="F592" s="57"/>
      <c r="G592" s="57"/>
      <c r="H592" s="57"/>
      <c r="I592" s="300"/>
      <c r="J592" s="57"/>
      <c r="K592" s="57"/>
      <c r="L592" s="57"/>
      <c r="M592" s="57"/>
      <c r="N592" s="57"/>
      <c r="O592" s="57"/>
      <c r="P592" s="146"/>
      <c r="Q592" s="146"/>
      <c r="V592" s="302"/>
      <c r="W592" s="302"/>
      <c r="X592" s="302"/>
      <c r="Y592" s="302"/>
      <c r="Z592" s="302"/>
      <c r="AA592" s="302"/>
      <c r="AB592" s="56"/>
      <c r="AC592" s="302"/>
      <c r="AD592" s="302"/>
      <c r="AE592" s="302"/>
      <c r="AF592" s="302"/>
      <c r="AG592" s="302"/>
      <c r="AH592" s="302"/>
      <c r="AI592" s="302"/>
      <c r="AJ592" s="302"/>
      <c r="AK592" s="302"/>
      <c r="AL592" s="302"/>
      <c r="AM592" s="302"/>
      <c r="AN592" s="302"/>
      <c r="AO592" s="302"/>
      <c r="AP592" s="302"/>
      <c r="AX592" s="302"/>
      <c r="AY592" s="302"/>
      <c r="AZ592" s="302"/>
      <c r="BA592" s="302"/>
      <c r="BB592" s="302"/>
      <c r="BC592" s="302"/>
      <c r="BD592" s="302"/>
      <c r="BE592" s="60"/>
    </row>
    <row r="593" spans="1:57" s="301" customFormat="1">
      <c r="A593" s="57"/>
      <c r="B593" s="57"/>
      <c r="C593" s="57"/>
      <c r="D593" s="57"/>
      <c r="E593" s="57"/>
      <c r="F593" s="57"/>
      <c r="G593" s="57"/>
      <c r="H593" s="57"/>
      <c r="I593" s="300"/>
      <c r="J593" s="57"/>
      <c r="K593" s="57"/>
      <c r="L593" s="57"/>
      <c r="M593" s="57"/>
      <c r="N593" s="57"/>
      <c r="O593" s="57"/>
      <c r="P593" s="146"/>
      <c r="Q593" s="146"/>
      <c r="V593" s="302"/>
      <c r="W593" s="302"/>
      <c r="X593" s="302"/>
      <c r="Y593" s="302"/>
      <c r="Z593" s="302"/>
      <c r="AA593" s="302"/>
      <c r="AB593" s="56"/>
      <c r="AC593" s="302"/>
      <c r="AD593" s="302"/>
      <c r="AE593" s="302"/>
      <c r="AF593" s="302"/>
      <c r="AG593" s="302"/>
      <c r="AH593" s="302"/>
      <c r="AI593" s="302"/>
      <c r="AJ593" s="302"/>
      <c r="AK593" s="302"/>
      <c r="AL593" s="302"/>
      <c r="AM593" s="302"/>
      <c r="AN593" s="302"/>
      <c r="AO593" s="302"/>
      <c r="AP593" s="302"/>
      <c r="AX593" s="302"/>
      <c r="AY593" s="302"/>
      <c r="AZ593" s="302"/>
      <c r="BA593" s="302"/>
      <c r="BB593" s="302"/>
      <c r="BC593" s="302"/>
      <c r="BD593" s="302"/>
      <c r="BE593" s="60"/>
    </row>
    <row r="594" spans="1:57" s="301" customFormat="1">
      <c r="A594" s="57"/>
      <c r="B594" s="57"/>
      <c r="C594" s="57"/>
      <c r="D594" s="57"/>
      <c r="E594" s="57"/>
      <c r="F594" s="57"/>
      <c r="G594" s="57"/>
      <c r="H594" s="57"/>
      <c r="I594" s="300"/>
      <c r="J594" s="57"/>
      <c r="K594" s="57"/>
      <c r="L594" s="57"/>
      <c r="M594" s="57"/>
      <c r="N594" s="57"/>
      <c r="O594" s="57"/>
      <c r="P594" s="146"/>
      <c r="Q594" s="146"/>
      <c r="V594" s="302"/>
      <c r="W594" s="302"/>
      <c r="X594" s="302"/>
      <c r="Y594" s="302"/>
      <c r="Z594" s="302"/>
      <c r="AA594" s="302"/>
      <c r="AB594" s="56"/>
      <c r="AC594" s="302"/>
      <c r="AD594" s="302"/>
      <c r="AE594" s="302"/>
      <c r="AF594" s="302"/>
      <c r="AG594" s="302"/>
      <c r="AH594" s="302"/>
      <c r="AI594" s="302"/>
      <c r="AJ594" s="302"/>
      <c r="AK594" s="302"/>
      <c r="AL594" s="302"/>
      <c r="AM594" s="302"/>
      <c r="AN594" s="302"/>
      <c r="AO594" s="302"/>
      <c r="AP594" s="302"/>
      <c r="AX594" s="302"/>
      <c r="AY594" s="302"/>
      <c r="AZ594" s="302"/>
      <c r="BA594" s="302"/>
      <c r="BB594" s="302"/>
      <c r="BC594" s="302"/>
      <c r="BD594" s="302"/>
      <c r="BE594" s="60"/>
    </row>
    <row r="595" spans="1:57" s="301" customFormat="1">
      <c r="A595" s="57"/>
      <c r="B595" s="57"/>
      <c r="C595" s="57"/>
      <c r="D595" s="57"/>
      <c r="E595" s="57"/>
      <c r="F595" s="57"/>
      <c r="G595" s="57"/>
      <c r="H595" s="57"/>
      <c r="I595" s="300"/>
      <c r="J595" s="57"/>
      <c r="K595" s="57"/>
      <c r="L595" s="57"/>
      <c r="M595" s="57"/>
      <c r="N595" s="57"/>
      <c r="O595" s="57"/>
      <c r="P595" s="146"/>
      <c r="Q595" s="146"/>
      <c r="V595" s="302"/>
      <c r="W595" s="302"/>
      <c r="X595" s="302"/>
      <c r="Y595" s="302"/>
      <c r="Z595" s="302"/>
      <c r="AA595" s="302"/>
      <c r="AB595" s="56"/>
      <c r="AC595" s="302"/>
      <c r="AD595" s="302"/>
      <c r="AE595" s="302"/>
      <c r="AF595" s="302"/>
      <c r="AG595" s="302"/>
      <c r="AH595" s="302"/>
      <c r="AI595" s="302"/>
      <c r="AJ595" s="302"/>
      <c r="AK595" s="302"/>
      <c r="AL595" s="302"/>
      <c r="AM595" s="302"/>
      <c r="AN595" s="302"/>
      <c r="AO595" s="302"/>
      <c r="AP595" s="302"/>
      <c r="AX595" s="302"/>
      <c r="AY595" s="302"/>
      <c r="AZ595" s="302"/>
      <c r="BA595" s="302"/>
      <c r="BB595" s="302"/>
      <c r="BC595" s="302"/>
      <c r="BD595" s="302"/>
      <c r="BE595" s="60"/>
    </row>
    <row r="596" spans="1:57" s="301" customFormat="1">
      <c r="A596" s="57"/>
      <c r="B596" s="57"/>
      <c r="C596" s="57"/>
      <c r="D596" s="57"/>
      <c r="E596" s="57"/>
      <c r="F596" s="57"/>
      <c r="G596" s="57"/>
      <c r="H596" s="57"/>
      <c r="I596" s="300"/>
      <c r="J596" s="57"/>
      <c r="K596" s="57"/>
      <c r="L596" s="57"/>
      <c r="M596" s="57"/>
      <c r="N596" s="57"/>
      <c r="O596" s="57"/>
      <c r="P596" s="146"/>
      <c r="Q596" s="146"/>
      <c r="V596" s="302"/>
      <c r="W596" s="302"/>
      <c r="X596" s="302"/>
      <c r="Y596" s="302"/>
      <c r="Z596" s="302"/>
      <c r="AA596" s="302"/>
      <c r="AB596" s="56"/>
      <c r="AC596" s="302"/>
      <c r="AD596" s="302"/>
      <c r="AE596" s="302"/>
      <c r="AF596" s="302"/>
      <c r="AG596" s="302"/>
      <c r="AH596" s="302"/>
      <c r="AI596" s="302"/>
      <c r="AJ596" s="302"/>
      <c r="AK596" s="302"/>
      <c r="AL596" s="302"/>
      <c r="AM596" s="302"/>
      <c r="AN596" s="302"/>
      <c r="AO596" s="302"/>
      <c r="AP596" s="302"/>
      <c r="AX596" s="302"/>
      <c r="AY596" s="302"/>
      <c r="AZ596" s="302"/>
      <c r="BA596" s="302"/>
      <c r="BB596" s="302"/>
      <c r="BC596" s="302"/>
      <c r="BD596" s="302"/>
      <c r="BE596" s="60"/>
    </row>
    <row r="597" spans="1:57" s="301" customFormat="1">
      <c r="A597" s="57"/>
      <c r="B597" s="57"/>
      <c r="C597" s="57"/>
      <c r="D597" s="57"/>
      <c r="E597" s="57"/>
      <c r="F597" s="57"/>
      <c r="G597" s="57"/>
      <c r="H597" s="57"/>
      <c r="I597" s="300"/>
      <c r="J597" s="57"/>
      <c r="K597" s="57"/>
      <c r="L597" s="57"/>
      <c r="M597" s="57"/>
      <c r="N597" s="57"/>
      <c r="O597" s="57"/>
      <c r="P597" s="146"/>
      <c r="Q597" s="146"/>
      <c r="V597" s="302"/>
      <c r="W597" s="302"/>
      <c r="X597" s="302"/>
      <c r="Y597" s="302"/>
      <c r="Z597" s="302"/>
      <c r="AA597" s="302"/>
      <c r="AB597" s="56"/>
      <c r="AC597" s="302"/>
      <c r="AD597" s="302"/>
      <c r="AE597" s="302"/>
      <c r="AF597" s="302"/>
      <c r="AG597" s="302"/>
      <c r="AH597" s="302"/>
      <c r="AI597" s="302"/>
      <c r="AJ597" s="302"/>
      <c r="AK597" s="302"/>
      <c r="AL597" s="302"/>
      <c r="AM597" s="302"/>
      <c r="AN597" s="302"/>
      <c r="AO597" s="302"/>
      <c r="AP597" s="302"/>
      <c r="AX597" s="302"/>
      <c r="AY597" s="302"/>
      <c r="AZ597" s="302"/>
      <c r="BA597" s="302"/>
      <c r="BB597" s="302"/>
      <c r="BC597" s="302"/>
      <c r="BD597" s="302"/>
      <c r="BE597" s="60"/>
    </row>
    <row r="598" spans="1:57" s="301" customFormat="1">
      <c r="A598" s="57"/>
      <c r="B598" s="57"/>
      <c r="C598" s="57"/>
      <c r="D598" s="57"/>
      <c r="E598" s="57"/>
      <c r="F598" s="57"/>
      <c r="G598" s="57"/>
      <c r="H598" s="57"/>
      <c r="I598" s="300"/>
      <c r="J598" s="57"/>
      <c r="K598" s="57"/>
      <c r="L598" s="57"/>
      <c r="M598" s="57"/>
      <c r="N598" s="57"/>
      <c r="O598" s="57"/>
      <c r="P598" s="146"/>
      <c r="Q598" s="146"/>
      <c r="V598" s="302"/>
      <c r="W598" s="302"/>
      <c r="X598" s="302"/>
      <c r="Y598" s="302"/>
      <c r="Z598" s="302"/>
      <c r="AA598" s="302"/>
      <c r="AB598" s="56"/>
      <c r="AC598" s="302"/>
      <c r="AD598" s="302"/>
      <c r="AE598" s="302"/>
      <c r="AF598" s="302"/>
      <c r="AG598" s="302"/>
      <c r="AH598" s="302"/>
      <c r="AI598" s="302"/>
      <c r="AJ598" s="302"/>
      <c r="AK598" s="302"/>
      <c r="AL598" s="302"/>
      <c r="AM598" s="302"/>
      <c r="AN598" s="302"/>
      <c r="AO598" s="302"/>
      <c r="AP598" s="302"/>
      <c r="AX598" s="302"/>
      <c r="AY598" s="302"/>
      <c r="AZ598" s="302"/>
      <c r="BA598" s="302"/>
      <c r="BB598" s="302"/>
      <c r="BC598" s="302"/>
      <c r="BD598" s="302"/>
      <c r="BE598" s="60"/>
    </row>
    <row r="599" spans="1:57" s="301" customFormat="1">
      <c r="A599" s="303"/>
      <c r="B599" s="61"/>
      <c r="C599" s="60"/>
      <c r="D599" s="60"/>
      <c r="E599" s="60"/>
      <c r="F599" s="60"/>
      <c r="G599" s="60"/>
      <c r="H599" s="60"/>
      <c r="I599" s="300"/>
      <c r="L599" s="57"/>
      <c r="M599" s="57"/>
      <c r="N599" s="57"/>
      <c r="O599" s="57"/>
      <c r="P599" s="146"/>
      <c r="Q599" s="146"/>
      <c r="V599" s="302"/>
      <c r="W599" s="302"/>
      <c r="X599" s="302"/>
      <c r="Y599" s="302"/>
      <c r="Z599" s="302"/>
      <c r="AA599" s="302"/>
      <c r="AB599" s="56"/>
      <c r="AC599" s="302"/>
      <c r="AD599" s="302"/>
      <c r="AE599" s="302"/>
      <c r="AF599" s="302"/>
      <c r="AG599" s="302"/>
      <c r="AH599" s="302"/>
      <c r="AI599" s="302"/>
      <c r="AJ599" s="302"/>
      <c r="AK599" s="302"/>
      <c r="AL599" s="302"/>
      <c r="AM599" s="302"/>
      <c r="AN599" s="302"/>
      <c r="AO599" s="302"/>
      <c r="AP599" s="302"/>
      <c r="AX599" s="302"/>
      <c r="AY599" s="302"/>
      <c r="AZ599" s="302"/>
      <c r="BA599" s="302"/>
      <c r="BB599" s="302"/>
      <c r="BC599" s="302"/>
      <c r="BD599" s="302"/>
      <c r="BE599" s="60"/>
    </row>
    <row r="600" spans="1:57" s="301" customFormat="1">
      <c r="A600" s="303"/>
      <c r="B600" s="61"/>
      <c r="C600" s="60"/>
      <c r="D600" s="60"/>
      <c r="E600" s="60"/>
      <c r="F600" s="60"/>
      <c r="G600" s="60"/>
      <c r="H600" s="60"/>
      <c r="I600" s="300"/>
      <c r="L600" s="57"/>
      <c r="M600" s="57"/>
      <c r="N600" s="57"/>
      <c r="O600" s="57"/>
      <c r="P600" s="146"/>
      <c r="Q600" s="146"/>
      <c r="V600" s="302"/>
      <c r="W600" s="302"/>
      <c r="X600" s="302"/>
      <c r="Y600" s="302"/>
      <c r="Z600" s="302"/>
      <c r="AA600" s="302"/>
      <c r="AB600" s="56"/>
      <c r="AC600" s="302"/>
      <c r="AD600" s="302"/>
      <c r="AE600" s="302"/>
      <c r="AF600" s="302"/>
      <c r="AG600" s="302"/>
      <c r="AH600" s="302"/>
      <c r="AI600" s="302"/>
      <c r="AJ600" s="302"/>
      <c r="AK600" s="302"/>
      <c r="AL600" s="302"/>
      <c r="AM600" s="302"/>
      <c r="AN600" s="302"/>
      <c r="AO600" s="302"/>
      <c r="AP600" s="302"/>
      <c r="AX600" s="302"/>
      <c r="AY600" s="302"/>
      <c r="AZ600" s="302"/>
      <c r="BA600" s="302"/>
      <c r="BB600" s="302"/>
      <c r="BC600" s="302"/>
      <c r="BD600" s="302"/>
      <c r="BE600" s="60"/>
    </row>
    <row r="601" spans="1:57" s="301" customFormat="1">
      <c r="A601" s="303"/>
      <c r="B601" s="61"/>
      <c r="C601" s="60"/>
      <c r="D601" s="60"/>
      <c r="E601" s="60"/>
      <c r="F601" s="60"/>
      <c r="G601" s="60"/>
      <c r="H601" s="60"/>
      <c r="I601" s="300"/>
      <c r="L601" s="57"/>
      <c r="M601" s="57"/>
      <c r="N601" s="57"/>
      <c r="O601" s="57"/>
      <c r="P601" s="146"/>
      <c r="Q601" s="146"/>
      <c r="V601" s="302"/>
      <c r="W601" s="302"/>
      <c r="X601" s="302"/>
      <c r="Y601" s="302"/>
      <c r="Z601" s="302"/>
      <c r="AA601" s="302"/>
      <c r="AB601" s="56"/>
      <c r="AC601" s="302"/>
      <c r="AD601" s="302"/>
      <c r="AE601" s="302"/>
      <c r="AF601" s="302"/>
      <c r="AG601" s="302"/>
      <c r="AH601" s="302"/>
      <c r="AI601" s="302"/>
      <c r="AJ601" s="302"/>
      <c r="AK601" s="302"/>
      <c r="AL601" s="302"/>
      <c r="AM601" s="302"/>
      <c r="AN601" s="302"/>
      <c r="AO601" s="302"/>
      <c r="AP601" s="302"/>
      <c r="AX601" s="302"/>
      <c r="AY601" s="302"/>
      <c r="AZ601" s="302"/>
      <c r="BA601" s="302"/>
      <c r="BB601" s="302"/>
      <c r="BC601" s="302"/>
      <c r="BD601" s="302"/>
      <c r="BE601" s="60"/>
    </row>
    <row r="602" spans="1:57" s="301" customFormat="1">
      <c r="A602" s="303"/>
      <c r="B602" s="61"/>
      <c r="C602" s="60"/>
      <c r="D602" s="60"/>
      <c r="E602" s="60"/>
      <c r="F602" s="60"/>
      <c r="G602" s="60"/>
      <c r="H602" s="60"/>
      <c r="I602" s="300"/>
      <c r="L602" s="57"/>
      <c r="M602" s="57"/>
      <c r="N602" s="57"/>
      <c r="O602" s="57"/>
      <c r="P602" s="146"/>
      <c r="Q602" s="146"/>
      <c r="V602" s="302"/>
      <c r="W602" s="302"/>
      <c r="X602" s="302"/>
      <c r="Y602" s="302"/>
      <c r="Z602" s="302"/>
      <c r="AA602" s="302"/>
      <c r="AB602" s="56"/>
      <c r="AC602" s="302"/>
      <c r="AD602" s="302"/>
      <c r="AE602" s="302"/>
      <c r="AF602" s="302"/>
      <c r="AG602" s="302"/>
      <c r="AH602" s="302"/>
      <c r="AI602" s="302"/>
      <c r="AJ602" s="302"/>
      <c r="AK602" s="302"/>
      <c r="AL602" s="302"/>
      <c r="AM602" s="302"/>
      <c r="AN602" s="302"/>
      <c r="AO602" s="302"/>
      <c r="AP602" s="302"/>
      <c r="AX602" s="302"/>
      <c r="AY602" s="302"/>
      <c r="AZ602" s="302"/>
      <c r="BA602" s="302"/>
      <c r="BB602" s="302"/>
      <c r="BC602" s="302"/>
      <c r="BD602" s="302"/>
      <c r="BE602" s="60"/>
    </row>
    <row r="603" spans="1:57" s="301" customFormat="1">
      <c r="A603" s="303"/>
      <c r="B603" s="61"/>
      <c r="C603" s="60"/>
      <c r="D603" s="60"/>
      <c r="E603" s="60"/>
      <c r="F603" s="60"/>
      <c r="G603" s="60"/>
      <c r="H603" s="60"/>
      <c r="I603" s="300"/>
      <c r="L603" s="57"/>
      <c r="M603" s="57"/>
      <c r="N603" s="57"/>
      <c r="O603" s="57"/>
      <c r="P603" s="146"/>
      <c r="Q603" s="146"/>
      <c r="V603" s="302"/>
      <c r="W603" s="302"/>
      <c r="X603" s="302"/>
      <c r="Y603" s="302"/>
      <c r="Z603" s="302"/>
      <c r="AA603" s="302"/>
      <c r="AB603" s="56"/>
      <c r="AC603" s="302"/>
      <c r="AD603" s="302"/>
      <c r="AE603" s="302"/>
      <c r="AF603" s="302"/>
      <c r="AG603" s="302"/>
      <c r="AH603" s="302"/>
      <c r="AI603" s="302"/>
      <c r="AJ603" s="302"/>
      <c r="AK603" s="302"/>
      <c r="AL603" s="302"/>
      <c r="AM603" s="302"/>
      <c r="AN603" s="302"/>
      <c r="AO603" s="302"/>
      <c r="AP603" s="302"/>
      <c r="AX603" s="302"/>
      <c r="AY603" s="302"/>
      <c r="AZ603" s="302"/>
      <c r="BA603" s="302"/>
      <c r="BB603" s="302"/>
      <c r="BC603" s="302"/>
      <c r="BD603" s="302"/>
      <c r="BE603" s="60"/>
    </row>
    <row r="604" spans="1:57" s="301" customFormat="1">
      <c r="A604" s="303"/>
      <c r="B604" s="61"/>
      <c r="C604" s="60"/>
      <c r="D604" s="60"/>
      <c r="E604" s="60"/>
      <c r="F604" s="60"/>
      <c r="G604" s="60"/>
      <c r="H604" s="60"/>
      <c r="I604" s="300"/>
      <c r="L604" s="57"/>
      <c r="M604" s="57"/>
      <c r="N604" s="57"/>
      <c r="O604" s="57"/>
      <c r="P604" s="146"/>
      <c r="Q604" s="146"/>
      <c r="V604" s="302"/>
      <c r="W604" s="302"/>
      <c r="X604" s="302"/>
      <c r="Y604" s="302"/>
      <c r="Z604" s="302"/>
      <c r="AA604" s="302"/>
      <c r="AB604" s="56"/>
      <c r="AC604" s="302"/>
      <c r="AD604" s="302"/>
      <c r="AE604" s="302"/>
      <c r="AF604" s="302"/>
      <c r="AG604" s="302"/>
      <c r="AH604" s="302"/>
      <c r="AI604" s="302"/>
      <c r="AJ604" s="302"/>
      <c r="AK604" s="302"/>
      <c r="AL604" s="302"/>
      <c r="AM604" s="302"/>
      <c r="AN604" s="302"/>
      <c r="AO604" s="302"/>
      <c r="AP604" s="302"/>
      <c r="AX604" s="302"/>
      <c r="AY604" s="302"/>
      <c r="AZ604" s="302"/>
      <c r="BA604" s="302"/>
      <c r="BB604" s="302"/>
      <c r="BC604" s="302"/>
      <c r="BD604" s="302"/>
      <c r="BE604" s="60"/>
    </row>
    <row r="605" spans="1:57" s="301" customFormat="1">
      <c r="A605" s="303"/>
      <c r="B605" s="61"/>
      <c r="C605" s="60"/>
      <c r="D605" s="60"/>
      <c r="E605" s="60"/>
      <c r="F605" s="60"/>
      <c r="G605" s="60"/>
      <c r="H605" s="60"/>
      <c r="I605" s="300"/>
      <c r="L605" s="57"/>
      <c r="M605" s="57"/>
      <c r="N605" s="57"/>
      <c r="O605" s="57"/>
      <c r="P605" s="146"/>
      <c r="Q605" s="146"/>
      <c r="V605" s="302"/>
      <c r="W605" s="302"/>
      <c r="X605" s="302"/>
      <c r="Y605" s="302"/>
      <c r="Z605" s="302"/>
      <c r="AA605" s="302"/>
      <c r="AB605" s="56"/>
      <c r="AC605" s="302"/>
      <c r="AD605" s="302"/>
      <c r="AE605" s="302"/>
      <c r="AF605" s="302"/>
      <c r="AG605" s="302"/>
      <c r="AH605" s="302"/>
      <c r="AI605" s="302"/>
      <c r="AJ605" s="302"/>
      <c r="AK605" s="302"/>
      <c r="AL605" s="302"/>
      <c r="AM605" s="302"/>
      <c r="AN605" s="302"/>
      <c r="AO605" s="302"/>
      <c r="AP605" s="302"/>
      <c r="AX605" s="302"/>
      <c r="AY605" s="302"/>
      <c r="AZ605" s="302"/>
      <c r="BA605" s="302"/>
      <c r="BB605" s="302"/>
      <c r="BC605" s="302"/>
      <c r="BD605" s="302"/>
      <c r="BE605" s="60"/>
    </row>
    <row r="606" spans="1:57" s="301" customFormat="1">
      <c r="A606" s="303"/>
      <c r="B606" s="61"/>
      <c r="C606" s="60"/>
      <c r="D606" s="60"/>
      <c r="E606" s="60"/>
      <c r="F606" s="60"/>
      <c r="G606" s="60"/>
      <c r="H606" s="60"/>
      <c r="I606" s="300"/>
      <c r="L606" s="57"/>
      <c r="M606" s="57"/>
      <c r="N606" s="57"/>
      <c r="O606" s="57"/>
      <c r="P606" s="146"/>
      <c r="Q606" s="146"/>
      <c r="V606" s="302"/>
      <c r="W606" s="302"/>
      <c r="X606" s="302"/>
      <c r="Y606" s="302"/>
      <c r="Z606" s="302"/>
      <c r="AA606" s="302"/>
      <c r="AB606" s="56"/>
      <c r="AC606" s="302"/>
      <c r="AD606" s="302"/>
      <c r="AE606" s="302"/>
      <c r="AF606" s="302"/>
      <c r="AG606" s="302"/>
      <c r="AH606" s="302"/>
      <c r="AI606" s="302"/>
      <c r="AJ606" s="302"/>
      <c r="AK606" s="302"/>
      <c r="AL606" s="302"/>
      <c r="AM606" s="302"/>
      <c r="AN606" s="302"/>
      <c r="AO606" s="302"/>
      <c r="AP606" s="302"/>
      <c r="AX606" s="302"/>
      <c r="AY606" s="302"/>
      <c r="AZ606" s="302"/>
      <c r="BA606" s="302"/>
      <c r="BB606" s="302"/>
      <c r="BC606" s="302"/>
      <c r="BD606" s="302"/>
      <c r="BE606" s="60"/>
    </row>
    <row r="607" spans="1:57" s="301" customFormat="1">
      <c r="A607" s="303"/>
      <c r="B607" s="61"/>
      <c r="C607" s="60"/>
      <c r="D607" s="60"/>
      <c r="E607" s="60"/>
      <c r="F607" s="60"/>
      <c r="G607" s="60"/>
      <c r="H607" s="60"/>
      <c r="I607" s="300"/>
      <c r="L607" s="57"/>
      <c r="M607" s="57"/>
      <c r="N607" s="57"/>
      <c r="O607" s="57"/>
      <c r="P607" s="146"/>
      <c r="Q607" s="146"/>
      <c r="V607" s="302"/>
      <c r="W607" s="302"/>
      <c r="X607" s="302"/>
      <c r="Y607" s="302"/>
      <c r="Z607" s="302"/>
      <c r="AA607" s="302"/>
      <c r="AB607" s="56"/>
      <c r="AC607" s="302"/>
      <c r="AD607" s="302"/>
      <c r="AE607" s="302"/>
      <c r="AF607" s="302"/>
      <c r="AG607" s="302"/>
      <c r="AH607" s="302"/>
      <c r="AI607" s="302"/>
      <c r="AJ607" s="302"/>
      <c r="AK607" s="302"/>
      <c r="AL607" s="302"/>
      <c r="AM607" s="302"/>
      <c r="AN607" s="302"/>
      <c r="AO607" s="302"/>
      <c r="AP607" s="302"/>
      <c r="AX607" s="302"/>
      <c r="AY607" s="302"/>
      <c r="AZ607" s="302"/>
      <c r="BA607" s="302"/>
      <c r="BB607" s="302"/>
      <c r="BC607" s="302"/>
      <c r="BD607" s="302"/>
      <c r="BE607" s="60"/>
    </row>
    <row r="608" spans="1:57" s="301" customFormat="1">
      <c r="A608" s="303"/>
      <c r="B608" s="61"/>
      <c r="C608" s="60"/>
      <c r="D608" s="60"/>
      <c r="E608" s="60"/>
      <c r="F608" s="60"/>
      <c r="G608" s="60"/>
      <c r="H608" s="60"/>
      <c r="I608" s="300"/>
      <c r="L608" s="57"/>
      <c r="M608" s="57"/>
      <c r="N608" s="57"/>
      <c r="O608" s="57"/>
      <c r="P608" s="146"/>
      <c r="Q608" s="146"/>
      <c r="V608" s="302"/>
      <c r="W608" s="302"/>
      <c r="X608" s="302"/>
      <c r="Y608" s="302"/>
      <c r="Z608" s="302"/>
      <c r="AA608" s="302"/>
      <c r="AB608" s="56"/>
      <c r="AC608" s="302"/>
      <c r="AD608" s="302"/>
      <c r="AE608" s="302"/>
      <c r="AF608" s="302"/>
      <c r="AG608" s="302"/>
      <c r="AH608" s="302"/>
      <c r="AI608" s="302"/>
      <c r="AJ608" s="302"/>
      <c r="AK608" s="302"/>
      <c r="AL608" s="302"/>
      <c r="AM608" s="302"/>
      <c r="AN608" s="302"/>
      <c r="AO608" s="302"/>
      <c r="AP608" s="302"/>
      <c r="AX608" s="302"/>
      <c r="AY608" s="302"/>
      <c r="AZ608" s="302"/>
      <c r="BA608" s="302"/>
      <c r="BB608" s="302"/>
      <c r="BC608" s="302"/>
      <c r="BD608" s="302"/>
      <c r="BE608" s="60"/>
    </row>
    <row r="609" spans="1:57" s="301" customFormat="1">
      <c r="A609" s="303"/>
      <c r="B609" s="61"/>
      <c r="C609" s="60"/>
      <c r="D609" s="60"/>
      <c r="E609" s="60"/>
      <c r="F609" s="60"/>
      <c r="G609" s="60"/>
      <c r="H609" s="60"/>
      <c r="I609" s="300"/>
      <c r="L609" s="57"/>
      <c r="M609" s="57"/>
      <c r="N609" s="57"/>
      <c r="O609" s="57"/>
      <c r="P609" s="146"/>
      <c r="Q609" s="146"/>
      <c r="V609" s="302"/>
      <c r="W609" s="302"/>
      <c r="X609" s="302"/>
      <c r="Y609" s="302"/>
      <c r="Z609" s="302"/>
      <c r="AA609" s="302"/>
      <c r="AB609" s="56"/>
      <c r="AC609" s="302"/>
      <c r="AD609" s="302"/>
      <c r="AE609" s="302"/>
      <c r="AF609" s="302"/>
      <c r="AG609" s="302"/>
      <c r="AH609" s="302"/>
      <c r="AI609" s="302"/>
      <c r="AJ609" s="302"/>
      <c r="AK609" s="302"/>
      <c r="AL609" s="302"/>
      <c r="AM609" s="302"/>
      <c r="AN609" s="302"/>
      <c r="AO609" s="302"/>
      <c r="AP609" s="302"/>
      <c r="AX609" s="302"/>
      <c r="AY609" s="302"/>
      <c r="AZ609" s="302"/>
      <c r="BA609" s="302"/>
      <c r="BB609" s="302"/>
      <c r="BC609" s="302"/>
      <c r="BD609" s="302"/>
      <c r="BE609" s="60"/>
    </row>
    <row r="610" spans="1:57" s="301" customFormat="1">
      <c r="A610" s="57"/>
      <c r="B610" s="57"/>
      <c r="C610" s="57"/>
      <c r="D610" s="57"/>
      <c r="E610" s="57"/>
      <c r="F610" s="57"/>
      <c r="G610" s="57"/>
      <c r="H610" s="57"/>
      <c r="I610" s="300"/>
      <c r="J610" s="57"/>
      <c r="K610" s="57"/>
      <c r="L610" s="57"/>
      <c r="M610" s="57"/>
      <c r="N610" s="57"/>
      <c r="O610" s="57"/>
      <c r="P610" s="146"/>
      <c r="Q610" s="146"/>
      <c r="V610" s="302"/>
      <c r="W610" s="302"/>
      <c r="X610" s="302"/>
      <c r="Y610" s="302"/>
      <c r="Z610" s="302"/>
      <c r="AA610" s="302"/>
      <c r="AB610" s="56"/>
      <c r="AC610" s="302"/>
      <c r="AD610" s="302"/>
      <c r="AE610" s="302"/>
      <c r="AF610" s="302"/>
      <c r="AG610" s="302"/>
      <c r="AH610" s="302"/>
      <c r="AI610" s="302"/>
      <c r="AJ610" s="302"/>
      <c r="AK610" s="302"/>
      <c r="AL610" s="302"/>
      <c r="AM610" s="302"/>
      <c r="AN610" s="302"/>
      <c r="AO610" s="302"/>
      <c r="AP610" s="302"/>
      <c r="AX610" s="302"/>
      <c r="AY610" s="302"/>
      <c r="AZ610" s="302"/>
      <c r="BA610" s="302"/>
      <c r="BB610" s="302"/>
      <c r="BC610" s="302"/>
      <c r="BD610" s="302"/>
      <c r="BE610" s="60"/>
    </row>
    <row r="611" spans="1:57" s="301" customFormat="1">
      <c r="A611" s="57"/>
      <c r="B611" s="57"/>
      <c r="C611" s="57"/>
      <c r="D611" s="57"/>
      <c r="E611" s="57"/>
      <c r="F611" s="57"/>
      <c r="G611" s="57"/>
      <c r="H611" s="57"/>
      <c r="I611" s="300"/>
      <c r="J611" s="57"/>
      <c r="K611" s="57"/>
      <c r="L611" s="57"/>
      <c r="M611" s="57"/>
      <c r="N611" s="57"/>
      <c r="O611" s="57"/>
      <c r="P611" s="146"/>
      <c r="Q611" s="146"/>
      <c r="V611" s="302"/>
      <c r="W611" s="302"/>
      <c r="X611" s="302"/>
      <c r="Y611" s="302"/>
      <c r="Z611" s="302"/>
      <c r="AA611" s="302"/>
      <c r="AB611" s="56"/>
      <c r="AC611" s="302"/>
      <c r="AD611" s="302"/>
      <c r="AE611" s="302"/>
      <c r="AF611" s="302"/>
      <c r="AG611" s="302"/>
      <c r="AH611" s="302"/>
      <c r="AI611" s="302"/>
      <c r="AJ611" s="302"/>
      <c r="AK611" s="302"/>
      <c r="AL611" s="302"/>
      <c r="AM611" s="302"/>
      <c r="AN611" s="302"/>
      <c r="AO611" s="302"/>
      <c r="AP611" s="302"/>
      <c r="AX611" s="302"/>
      <c r="AY611" s="302"/>
      <c r="AZ611" s="302"/>
      <c r="BA611" s="302"/>
      <c r="BB611" s="302"/>
      <c r="BC611" s="302"/>
      <c r="BD611" s="302"/>
      <c r="BE611" s="60"/>
    </row>
    <row r="612" spans="1:57" s="301" customFormat="1">
      <c r="A612" s="57"/>
      <c r="B612" s="57"/>
      <c r="C612" s="57"/>
      <c r="D612" s="57"/>
      <c r="E612" s="57"/>
      <c r="F612" s="57"/>
      <c r="G612" s="57"/>
      <c r="H612" s="57"/>
      <c r="I612" s="300"/>
      <c r="J612" s="57"/>
      <c r="K612" s="57"/>
      <c r="L612" s="57"/>
      <c r="M612" s="57"/>
      <c r="N612" s="57"/>
      <c r="O612" s="57"/>
      <c r="P612" s="146"/>
      <c r="Q612" s="146"/>
      <c r="V612" s="302"/>
      <c r="W612" s="302"/>
      <c r="X612" s="302"/>
      <c r="Y612" s="302"/>
      <c r="Z612" s="302"/>
      <c r="AA612" s="302"/>
      <c r="AB612" s="56"/>
      <c r="AC612" s="302"/>
      <c r="AD612" s="302"/>
      <c r="AE612" s="302"/>
      <c r="AF612" s="302"/>
      <c r="AG612" s="302"/>
      <c r="AH612" s="302"/>
      <c r="AI612" s="302"/>
      <c r="AJ612" s="302"/>
      <c r="AK612" s="302"/>
      <c r="AL612" s="302"/>
      <c r="AM612" s="302"/>
      <c r="AN612" s="302"/>
      <c r="AO612" s="302"/>
      <c r="AP612" s="302"/>
      <c r="AX612" s="302"/>
      <c r="AY612" s="302"/>
      <c r="AZ612" s="302"/>
      <c r="BA612" s="302"/>
      <c r="BB612" s="302"/>
      <c r="BC612" s="302"/>
      <c r="BD612" s="302"/>
      <c r="BE612" s="60"/>
    </row>
    <row r="613" spans="1:57" s="301" customFormat="1">
      <c r="A613" s="57"/>
      <c r="B613" s="57"/>
      <c r="C613" s="57"/>
      <c r="D613" s="57"/>
      <c r="E613" s="57"/>
      <c r="F613" s="57"/>
      <c r="G613" s="57"/>
      <c r="H613" s="57"/>
      <c r="I613" s="300"/>
      <c r="J613" s="57"/>
      <c r="K613" s="57"/>
      <c r="L613" s="57"/>
      <c r="M613" s="57"/>
      <c r="N613" s="57"/>
      <c r="O613" s="57"/>
      <c r="P613" s="146"/>
      <c r="Q613" s="146"/>
      <c r="V613" s="302"/>
      <c r="W613" s="302"/>
      <c r="X613" s="302"/>
      <c r="Y613" s="302"/>
      <c r="Z613" s="302"/>
      <c r="AA613" s="302"/>
      <c r="AB613" s="56"/>
      <c r="AC613" s="302"/>
      <c r="AD613" s="302"/>
      <c r="AE613" s="302"/>
      <c r="AF613" s="302"/>
      <c r="AG613" s="302"/>
      <c r="AH613" s="302"/>
      <c r="AI613" s="302"/>
      <c r="AJ613" s="302"/>
      <c r="AK613" s="302"/>
      <c r="AL613" s="302"/>
      <c r="AM613" s="302"/>
      <c r="AN613" s="302"/>
      <c r="AO613" s="302"/>
      <c r="AP613" s="302"/>
      <c r="AX613" s="302"/>
      <c r="AY613" s="302"/>
      <c r="AZ613" s="302"/>
      <c r="BA613" s="302"/>
      <c r="BB613" s="302"/>
      <c r="BC613" s="302"/>
      <c r="BD613" s="302"/>
      <c r="BE613" s="60"/>
    </row>
    <row r="614" spans="1:57" s="301" customFormat="1">
      <c r="A614" s="57"/>
      <c r="B614" s="57"/>
      <c r="C614" s="57"/>
      <c r="D614" s="57"/>
      <c r="E614" s="57"/>
      <c r="F614" s="57"/>
      <c r="G614" s="57"/>
      <c r="H614" s="57"/>
      <c r="I614" s="300"/>
      <c r="J614" s="57"/>
      <c r="K614" s="57"/>
      <c r="L614" s="57"/>
      <c r="M614" s="57"/>
      <c r="N614" s="57"/>
      <c r="O614" s="57"/>
      <c r="P614" s="146"/>
      <c r="Q614" s="146"/>
      <c r="V614" s="302"/>
      <c r="W614" s="302"/>
      <c r="X614" s="302"/>
      <c r="Y614" s="302"/>
      <c r="Z614" s="302"/>
      <c r="AA614" s="302"/>
      <c r="AB614" s="56"/>
      <c r="AC614" s="302"/>
      <c r="AD614" s="302"/>
      <c r="AE614" s="302"/>
      <c r="AF614" s="302"/>
      <c r="AG614" s="302"/>
      <c r="AH614" s="302"/>
      <c r="AI614" s="302"/>
      <c r="AJ614" s="302"/>
      <c r="AK614" s="302"/>
      <c r="AL614" s="302"/>
      <c r="AM614" s="302"/>
      <c r="AN614" s="302"/>
      <c r="AO614" s="302"/>
      <c r="AP614" s="302"/>
      <c r="AX614" s="302"/>
      <c r="AY614" s="302"/>
      <c r="AZ614" s="302"/>
      <c r="BA614" s="302"/>
      <c r="BB614" s="302"/>
      <c r="BC614" s="302"/>
      <c r="BD614" s="302"/>
      <c r="BE614" s="60"/>
    </row>
    <row r="615" spans="1:57" s="301" customFormat="1">
      <c r="A615" s="57"/>
      <c r="B615" s="57"/>
      <c r="C615" s="57"/>
      <c r="D615" s="57"/>
      <c r="E615" s="57"/>
      <c r="F615" s="57"/>
      <c r="G615" s="57"/>
      <c r="H615" s="57"/>
      <c r="I615" s="300"/>
      <c r="J615" s="57"/>
      <c r="K615" s="57"/>
      <c r="L615" s="57"/>
      <c r="M615" s="57"/>
      <c r="N615" s="57"/>
      <c r="O615" s="57"/>
      <c r="P615" s="146"/>
      <c r="Q615" s="146"/>
      <c r="V615" s="302"/>
      <c r="W615" s="302"/>
      <c r="X615" s="302"/>
      <c r="Y615" s="302"/>
      <c r="Z615" s="302"/>
      <c r="AA615" s="302"/>
      <c r="AB615" s="56"/>
      <c r="AC615" s="302"/>
      <c r="AD615" s="302"/>
      <c r="AE615" s="302"/>
      <c r="AF615" s="302"/>
      <c r="AG615" s="302"/>
      <c r="AH615" s="302"/>
      <c r="AI615" s="302"/>
      <c r="AJ615" s="302"/>
      <c r="AK615" s="302"/>
      <c r="AL615" s="302"/>
      <c r="AM615" s="302"/>
      <c r="AN615" s="302"/>
      <c r="AO615" s="302"/>
      <c r="AP615" s="302"/>
      <c r="AX615" s="302"/>
      <c r="AY615" s="302"/>
      <c r="AZ615" s="302"/>
      <c r="BA615" s="302"/>
      <c r="BB615" s="302"/>
      <c r="BC615" s="302"/>
      <c r="BD615" s="302"/>
      <c r="BE615" s="60"/>
    </row>
    <row r="616" spans="1:57" s="301" customFormat="1">
      <c r="A616" s="57"/>
      <c r="B616" s="57"/>
      <c r="C616" s="57"/>
      <c r="D616" s="57"/>
      <c r="E616" s="57"/>
      <c r="F616" s="57"/>
      <c r="G616" s="57"/>
      <c r="H616" s="57"/>
      <c r="I616" s="300"/>
      <c r="J616" s="57"/>
      <c r="K616" s="57"/>
      <c r="L616" s="57"/>
      <c r="M616" s="57"/>
      <c r="N616" s="57"/>
      <c r="O616" s="57"/>
      <c r="P616" s="146"/>
      <c r="Q616" s="146"/>
      <c r="V616" s="302"/>
      <c r="W616" s="302"/>
      <c r="X616" s="302"/>
      <c r="Y616" s="302"/>
      <c r="Z616" s="302"/>
      <c r="AA616" s="302"/>
      <c r="AB616" s="56"/>
      <c r="AC616" s="302"/>
      <c r="AD616" s="302"/>
      <c r="AE616" s="302"/>
      <c r="AF616" s="302"/>
      <c r="AG616" s="302"/>
      <c r="AH616" s="302"/>
      <c r="AI616" s="302"/>
      <c r="AJ616" s="302"/>
      <c r="AK616" s="302"/>
      <c r="AL616" s="302"/>
      <c r="AM616" s="302"/>
      <c r="AN616" s="302"/>
      <c r="AO616" s="302"/>
      <c r="AP616" s="302"/>
      <c r="AX616" s="302"/>
      <c r="AY616" s="302"/>
      <c r="AZ616" s="302"/>
      <c r="BA616" s="302"/>
      <c r="BB616" s="302"/>
      <c r="BC616" s="302"/>
      <c r="BD616" s="302"/>
      <c r="BE616" s="60"/>
    </row>
    <row r="617" spans="1:57" s="301" customFormat="1">
      <c r="A617" s="57"/>
      <c r="B617" s="57"/>
      <c r="C617" s="57"/>
      <c r="D617" s="57"/>
      <c r="E617" s="57"/>
      <c r="F617" s="57"/>
      <c r="G617" s="57"/>
      <c r="H617" s="57"/>
      <c r="I617" s="300"/>
      <c r="J617" s="57"/>
      <c r="K617" s="57"/>
      <c r="L617" s="57"/>
      <c r="M617" s="57"/>
      <c r="N617" s="57"/>
      <c r="O617" s="57"/>
      <c r="P617" s="146"/>
      <c r="Q617" s="146"/>
      <c r="V617" s="302"/>
      <c r="W617" s="302"/>
      <c r="X617" s="302"/>
      <c r="Y617" s="302"/>
      <c r="Z617" s="302"/>
      <c r="AA617" s="302"/>
      <c r="AB617" s="56"/>
      <c r="AC617" s="302"/>
      <c r="AD617" s="302"/>
      <c r="AE617" s="302"/>
      <c r="AF617" s="302"/>
      <c r="AG617" s="302"/>
      <c r="AH617" s="302"/>
      <c r="AI617" s="302"/>
      <c r="AJ617" s="302"/>
      <c r="AK617" s="302"/>
      <c r="AL617" s="302"/>
      <c r="AM617" s="302"/>
      <c r="AN617" s="302"/>
      <c r="AO617" s="302"/>
      <c r="AP617" s="302"/>
      <c r="AX617" s="302"/>
      <c r="AY617" s="302"/>
      <c r="AZ617" s="302"/>
      <c r="BA617" s="302"/>
      <c r="BB617" s="302"/>
      <c r="BC617" s="302"/>
      <c r="BD617" s="302"/>
      <c r="BE617" s="60"/>
    </row>
    <row r="618" spans="1:57" s="301" customFormat="1">
      <c r="A618" s="57"/>
      <c r="B618" s="57"/>
      <c r="C618" s="57"/>
      <c r="D618" s="57"/>
      <c r="E618" s="57"/>
      <c r="F618" s="57"/>
      <c r="G618" s="57"/>
      <c r="H618" s="57"/>
      <c r="I618" s="300"/>
      <c r="J618" s="57"/>
      <c r="K618" s="57"/>
      <c r="L618" s="57"/>
      <c r="M618" s="57"/>
      <c r="N618" s="57"/>
      <c r="O618" s="57"/>
      <c r="P618" s="146"/>
      <c r="Q618" s="146"/>
      <c r="V618" s="302"/>
      <c r="W618" s="302"/>
      <c r="X618" s="302"/>
      <c r="Y618" s="302"/>
      <c r="Z618" s="302"/>
      <c r="AA618" s="302"/>
      <c r="AB618" s="56"/>
      <c r="AC618" s="302"/>
      <c r="AD618" s="302"/>
      <c r="AE618" s="302"/>
      <c r="AF618" s="302"/>
      <c r="AG618" s="302"/>
      <c r="AH618" s="302"/>
      <c r="AI618" s="302"/>
      <c r="AJ618" s="302"/>
      <c r="AK618" s="302"/>
      <c r="AL618" s="302"/>
      <c r="AM618" s="302"/>
      <c r="AN618" s="302"/>
      <c r="AO618" s="302"/>
      <c r="AP618" s="302"/>
      <c r="AX618" s="302"/>
      <c r="AY618" s="302"/>
      <c r="AZ618" s="302"/>
      <c r="BA618" s="302"/>
      <c r="BB618" s="302"/>
      <c r="BC618" s="302"/>
      <c r="BD618" s="302"/>
      <c r="BE618" s="60"/>
    </row>
    <row r="619" spans="1:57" s="301" customFormat="1">
      <c r="A619" s="57"/>
      <c r="B619" s="57"/>
      <c r="C619" s="57"/>
      <c r="D619" s="57"/>
      <c r="E619" s="57"/>
      <c r="F619" s="57"/>
      <c r="G619" s="57"/>
      <c r="H619" s="57"/>
      <c r="I619" s="300"/>
      <c r="J619" s="57"/>
      <c r="K619" s="57"/>
      <c r="L619" s="57"/>
      <c r="M619" s="57"/>
      <c r="N619" s="57"/>
      <c r="O619" s="57"/>
      <c r="P619" s="146"/>
      <c r="Q619" s="146"/>
      <c r="V619" s="302"/>
      <c r="W619" s="302"/>
      <c r="X619" s="302"/>
      <c r="Y619" s="302"/>
      <c r="Z619" s="302"/>
      <c r="AA619" s="302"/>
      <c r="AB619" s="56"/>
      <c r="AC619" s="302"/>
      <c r="AD619" s="302"/>
      <c r="AE619" s="302"/>
      <c r="AF619" s="302"/>
      <c r="AG619" s="302"/>
      <c r="AH619" s="302"/>
      <c r="AI619" s="302"/>
      <c r="AJ619" s="302"/>
      <c r="AK619" s="302"/>
      <c r="AL619" s="302"/>
      <c r="AM619" s="302"/>
      <c r="AN619" s="302"/>
      <c r="AO619" s="302"/>
      <c r="AP619" s="302"/>
      <c r="AX619" s="302"/>
      <c r="AY619" s="302"/>
      <c r="AZ619" s="302"/>
      <c r="BA619" s="302"/>
      <c r="BB619" s="302"/>
      <c r="BC619" s="302"/>
      <c r="BD619" s="302"/>
      <c r="BE619" s="60"/>
    </row>
    <row r="620" spans="1:57" s="301" customFormat="1">
      <c r="A620" s="57"/>
      <c r="B620" s="57"/>
      <c r="C620" s="57"/>
      <c r="D620" s="57"/>
      <c r="E620" s="57"/>
      <c r="F620" s="57"/>
      <c r="G620" s="57"/>
      <c r="H620" s="57"/>
      <c r="I620" s="300"/>
      <c r="J620" s="57"/>
      <c r="K620" s="57"/>
      <c r="L620" s="57"/>
      <c r="M620" s="57"/>
      <c r="N620" s="57"/>
      <c r="O620" s="57"/>
      <c r="P620" s="146"/>
      <c r="Q620" s="146"/>
      <c r="V620" s="302"/>
      <c r="W620" s="302"/>
      <c r="X620" s="302"/>
      <c r="Y620" s="302"/>
      <c r="Z620" s="302"/>
      <c r="AA620" s="302"/>
      <c r="AB620" s="56"/>
      <c r="AC620" s="302"/>
      <c r="AD620" s="302"/>
      <c r="AE620" s="302"/>
      <c r="AF620" s="302"/>
      <c r="AG620" s="302"/>
      <c r="AH620" s="302"/>
      <c r="AI620" s="302"/>
      <c r="AJ620" s="302"/>
      <c r="AK620" s="302"/>
      <c r="AL620" s="302"/>
      <c r="AM620" s="302"/>
      <c r="AN620" s="302"/>
      <c r="AO620" s="302"/>
      <c r="AP620" s="302"/>
      <c r="AX620" s="302"/>
      <c r="AY620" s="302"/>
      <c r="AZ620" s="302"/>
      <c r="BA620" s="302"/>
      <c r="BB620" s="302"/>
      <c r="BC620" s="302"/>
      <c r="BD620" s="302"/>
      <c r="BE620" s="60"/>
    </row>
    <row r="621" spans="1:57" s="301" customFormat="1">
      <c r="A621" s="57"/>
      <c r="B621" s="57"/>
      <c r="C621" s="57"/>
      <c r="D621" s="57"/>
      <c r="E621" s="57"/>
      <c r="F621" s="57"/>
      <c r="G621" s="57"/>
      <c r="H621" s="57"/>
      <c r="I621" s="300"/>
      <c r="J621" s="57"/>
      <c r="K621" s="57"/>
      <c r="L621" s="57"/>
      <c r="M621" s="57"/>
      <c r="N621" s="57"/>
      <c r="O621" s="57"/>
      <c r="P621" s="146"/>
      <c r="Q621" s="146"/>
      <c r="V621" s="302"/>
      <c r="W621" s="302"/>
      <c r="X621" s="302"/>
      <c r="Y621" s="302"/>
      <c r="Z621" s="302"/>
      <c r="AA621" s="302"/>
      <c r="AB621" s="56"/>
      <c r="AC621" s="302"/>
      <c r="AD621" s="302"/>
      <c r="AE621" s="302"/>
      <c r="AF621" s="302"/>
      <c r="AG621" s="302"/>
      <c r="AH621" s="302"/>
      <c r="AI621" s="302"/>
      <c r="AJ621" s="302"/>
      <c r="AK621" s="302"/>
      <c r="AL621" s="302"/>
      <c r="AM621" s="302"/>
      <c r="AN621" s="302"/>
      <c r="AO621" s="302"/>
      <c r="AP621" s="302"/>
      <c r="AX621" s="302"/>
      <c r="AY621" s="302"/>
      <c r="AZ621" s="302"/>
      <c r="BA621" s="302"/>
      <c r="BB621" s="302"/>
      <c r="BC621" s="302"/>
      <c r="BD621" s="302"/>
      <c r="BE621" s="60"/>
    </row>
    <row r="622" spans="1:57" s="301" customFormat="1">
      <c r="A622" s="57"/>
      <c r="B622" s="57"/>
      <c r="C622" s="57"/>
      <c r="D622" s="57"/>
      <c r="E622" s="57"/>
      <c r="F622" s="57"/>
      <c r="G622" s="57"/>
      <c r="H622" s="57"/>
      <c r="I622" s="300"/>
      <c r="J622" s="57"/>
      <c r="K622" s="57"/>
      <c r="L622" s="57"/>
      <c r="M622" s="57"/>
      <c r="N622" s="57"/>
      <c r="O622" s="57"/>
      <c r="P622" s="146"/>
      <c r="Q622" s="146"/>
      <c r="V622" s="302"/>
      <c r="W622" s="302"/>
      <c r="X622" s="302"/>
      <c r="Y622" s="302"/>
      <c r="Z622" s="302"/>
      <c r="AA622" s="302"/>
      <c r="AB622" s="56"/>
      <c r="AC622" s="302"/>
      <c r="AD622" s="302"/>
      <c r="AE622" s="302"/>
      <c r="AF622" s="302"/>
      <c r="AG622" s="302"/>
      <c r="AH622" s="302"/>
      <c r="AI622" s="302"/>
      <c r="AJ622" s="302"/>
      <c r="AK622" s="302"/>
      <c r="AL622" s="302"/>
      <c r="AM622" s="302"/>
      <c r="AN622" s="302"/>
      <c r="AO622" s="302"/>
      <c r="AP622" s="302"/>
      <c r="AX622" s="302"/>
      <c r="AY622" s="302"/>
      <c r="AZ622" s="302"/>
      <c r="BA622" s="302"/>
      <c r="BB622" s="302"/>
      <c r="BC622" s="302"/>
      <c r="BD622" s="302"/>
      <c r="BE622" s="60"/>
    </row>
    <row r="623" spans="1:57" s="301" customFormat="1">
      <c r="A623" s="57"/>
      <c r="B623" s="57"/>
      <c r="C623" s="57"/>
      <c r="D623" s="57"/>
      <c r="E623" s="57"/>
      <c r="F623" s="57"/>
      <c r="G623" s="57"/>
      <c r="H623" s="57"/>
      <c r="I623" s="300"/>
      <c r="J623" s="57"/>
      <c r="K623" s="57"/>
      <c r="L623" s="57"/>
      <c r="M623" s="57"/>
      <c r="N623" s="57"/>
      <c r="O623" s="57"/>
      <c r="P623" s="146"/>
      <c r="Q623" s="146"/>
      <c r="V623" s="302"/>
      <c r="W623" s="302"/>
      <c r="X623" s="302"/>
      <c r="Y623" s="302"/>
      <c r="Z623" s="302"/>
      <c r="AA623" s="302"/>
      <c r="AB623" s="56"/>
      <c r="AC623" s="302"/>
      <c r="AD623" s="302"/>
      <c r="AE623" s="302"/>
      <c r="AF623" s="302"/>
      <c r="AG623" s="302"/>
      <c r="AH623" s="302"/>
      <c r="AI623" s="302"/>
      <c r="AJ623" s="302"/>
      <c r="AK623" s="302"/>
      <c r="AL623" s="302"/>
      <c r="AM623" s="302"/>
      <c r="AN623" s="302"/>
      <c r="AO623" s="302"/>
      <c r="AP623" s="302"/>
      <c r="AX623" s="302"/>
      <c r="AY623" s="302"/>
      <c r="AZ623" s="302"/>
      <c r="BA623" s="302"/>
      <c r="BB623" s="302"/>
      <c r="BC623" s="302"/>
      <c r="BD623" s="302"/>
      <c r="BE623" s="60"/>
    </row>
    <row r="624" spans="1:57" s="301" customFormat="1">
      <c r="A624" s="57"/>
      <c r="B624" s="57"/>
      <c r="C624" s="57"/>
      <c r="D624" s="57"/>
      <c r="E624" s="57"/>
      <c r="F624" s="57"/>
      <c r="G624" s="57"/>
      <c r="H624" s="57"/>
      <c r="I624" s="300"/>
      <c r="J624" s="57"/>
      <c r="K624" s="57"/>
      <c r="L624" s="57"/>
      <c r="M624" s="57"/>
      <c r="N624" s="57"/>
      <c r="O624" s="57"/>
      <c r="P624" s="146"/>
      <c r="Q624" s="146"/>
      <c r="V624" s="302"/>
      <c r="W624" s="302"/>
      <c r="X624" s="302"/>
      <c r="Y624" s="302"/>
      <c r="Z624" s="302"/>
      <c r="AA624" s="302"/>
      <c r="AB624" s="56"/>
      <c r="AC624" s="302"/>
      <c r="AD624" s="302"/>
      <c r="AE624" s="302"/>
      <c r="AF624" s="302"/>
      <c r="AG624" s="302"/>
      <c r="AH624" s="302"/>
      <c r="AI624" s="302"/>
      <c r="AJ624" s="302"/>
      <c r="AK624" s="302"/>
      <c r="AL624" s="302"/>
      <c r="AM624" s="302"/>
      <c r="AN624" s="302"/>
      <c r="AO624" s="302"/>
      <c r="AP624" s="302"/>
      <c r="AX624" s="302"/>
      <c r="AY624" s="302"/>
      <c r="AZ624" s="302"/>
      <c r="BA624" s="302"/>
      <c r="BB624" s="302"/>
      <c r="BC624" s="302"/>
      <c r="BD624" s="302"/>
      <c r="BE624" s="60"/>
    </row>
    <row r="625" spans="1:57" s="301" customFormat="1">
      <c r="A625" s="57"/>
      <c r="B625" s="57"/>
      <c r="C625" s="57"/>
      <c r="D625" s="57"/>
      <c r="E625" s="57"/>
      <c r="F625" s="57"/>
      <c r="G625" s="57"/>
      <c r="H625" s="57"/>
      <c r="I625" s="300"/>
      <c r="J625" s="57"/>
      <c r="K625" s="57"/>
      <c r="L625" s="57"/>
      <c r="M625" s="57"/>
      <c r="N625" s="57"/>
      <c r="O625" s="57"/>
      <c r="P625" s="146"/>
      <c r="Q625" s="146"/>
      <c r="V625" s="302"/>
      <c r="W625" s="302"/>
      <c r="X625" s="302"/>
      <c r="Y625" s="302"/>
      <c r="Z625" s="302"/>
      <c r="AA625" s="302"/>
      <c r="AB625" s="56"/>
      <c r="AC625" s="302"/>
      <c r="AD625" s="302"/>
      <c r="AE625" s="302"/>
      <c r="AF625" s="302"/>
      <c r="AG625" s="302"/>
      <c r="AH625" s="302"/>
      <c r="AI625" s="302"/>
      <c r="AJ625" s="302"/>
      <c r="AK625" s="302"/>
      <c r="AL625" s="302"/>
      <c r="AM625" s="302"/>
      <c r="AN625" s="302"/>
      <c r="AO625" s="302"/>
      <c r="AP625" s="302"/>
      <c r="AX625" s="302"/>
      <c r="AY625" s="302"/>
      <c r="AZ625" s="302"/>
      <c r="BA625" s="302"/>
      <c r="BB625" s="302"/>
      <c r="BC625" s="302"/>
      <c r="BD625" s="302"/>
      <c r="BE625" s="60"/>
    </row>
    <row r="626" spans="1:57" s="301" customFormat="1">
      <c r="A626" s="57"/>
      <c r="B626" s="57"/>
      <c r="C626" s="57"/>
      <c r="D626" s="57"/>
      <c r="E626" s="57"/>
      <c r="F626" s="57"/>
      <c r="G626" s="57"/>
      <c r="H626" s="57"/>
      <c r="I626" s="300"/>
      <c r="J626" s="57"/>
      <c r="K626" s="57"/>
      <c r="L626" s="57"/>
      <c r="M626" s="57"/>
      <c r="N626" s="57"/>
      <c r="O626" s="57"/>
      <c r="P626" s="146"/>
      <c r="Q626" s="146"/>
      <c r="V626" s="302"/>
      <c r="W626" s="302"/>
      <c r="X626" s="302"/>
      <c r="Y626" s="302"/>
      <c r="Z626" s="302"/>
      <c r="AA626" s="302"/>
      <c r="AB626" s="56"/>
      <c r="AC626" s="302"/>
      <c r="AD626" s="302"/>
      <c r="AE626" s="302"/>
      <c r="AF626" s="302"/>
      <c r="AG626" s="302"/>
      <c r="AH626" s="302"/>
      <c r="AI626" s="302"/>
      <c r="AJ626" s="302"/>
      <c r="AK626" s="302"/>
      <c r="AL626" s="302"/>
      <c r="AM626" s="302"/>
      <c r="AN626" s="302"/>
      <c r="AO626" s="302"/>
      <c r="AP626" s="302"/>
      <c r="AX626" s="302"/>
      <c r="AY626" s="302"/>
      <c r="AZ626" s="302"/>
      <c r="BA626" s="302"/>
      <c r="BB626" s="302"/>
      <c r="BC626" s="302"/>
      <c r="BD626" s="302"/>
      <c r="BE626" s="60"/>
    </row>
    <row r="627" spans="1:57" s="301" customFormat="1">
      <c r="A627" s="57"/>
      <c r="B627" s="57"/>
      <c r="C627" s="57"/>
      <c r="D627" s="57"/>
      <c r="E627" s="57"/>
      <c r="F627" s="57"/>
      <c r="G627" s="57"/>
      <c r="H627" s="57"/>
      <c r="I627" s="300"/>
      <c r="J627" s="57"/>
      <c r="K627" s="57"/>
      <c r="L627" s="57"/>
      <c r="M627" s="57"/>
      <c r="N627" s="57"/>
      <c r="O627" s="57"/>
      <c r="P627" s="146"/>
      <c r="Q627" s="146"/>
      <c r="V627" s="302"/>
      <c r="W627" s="302"/>
      <c r="X627" s="302"/>
      <c r="Y627" s="302"/>
      <c r="Z627" s="302"/>
      <c r="AA627" s="302"/>
      <c r="AB627" s="56"/>
      <c r="AC627" s="302"/>
      <c r="AD627" s="302"/>
      <c r="AE627" s="302"/>
      <c r="AF627" s="302"/>
      <c r="AG627" s="302"/>
      <c r="AH627" s="302"/>
      <c r="AI627" s="302"/>
      <c r="AJ627" s="302"/>
      <c r="AK627" s="302"/>
      <c r="AL627" s="302"/>
      <c r="AM627" s="302"/>
      <c r="AN627" s="302"/>
      <c r="AO627" s="302"/>
      <c r="AP627" s="302"/>
      <c r="AX627" s="302"/>
      <c r="AY627" s="302"/>
      <c r="AZ627" s="302"/>
      <c r="BA627" s="302"/>
      <c r="BB627" s="302"/>
      <c r="BC627" s="302"/>
      <c r="BD627" s="302"/>
      <c r="BE627" s="60"/>
    </row>
    <row r="628" spans="1:57" s="301" customFormat="1">
      <c r="A628" s="57"/>
      <c r="B628" s="57"/>
      <c r="C628" s="57"/>
      <c r="D628" s="57"/>
      <c r="E628" s="57"/>
      <c r="F628" s="57"/>
      <c r="G628" s="57"/>
      <c r="H628" s="57"/>
      <c r="I628" s="300"/>
      <c r="J628" s="57"/>
      <c r="K628" s="57"/>
      <c r="L628" s="57"/>
      <c r="M628" s="57"/>
      <c r="N628" s="57"/>
      <c r="O628" s="57"/>
      <c r="P628" s="146"/>
      <c r="Q628" s="146"/>
      <c r="V628" s="302"/>
      <c r="W628" s="302"/>
      <c r="X628" s="302"/>
      <c r="Y628" s="302"/>
      <c r="Z628" s="302"/>
      <c r="AA628" s="302"/>
      <c r="AB628" s="56"/>
      <c r="AC628" s="302"/>
      <c r="AD628" s="302"/>
      <c r="AE628" s="302"/>
      <c r="AF628" s="302"/>
      <c r="AG628" s="302"/>
      <c r="AH628" s="302"/>
      <c r="AI628" s="302"/>
      <c r="AJ628" s="302"/>
      <c r="AK628" s="302"/>
      <c r="AL628" s="302"/>
      <c r="AM628" s="302"/>
      <c r="AN628" s="302"/>
      <c r="AO628" s="302"/>
      <c r="AP628" s="302"/>
      <c r="AX628" s="302"/>
      <c r="AY628" s="302"/>
      <c r="AZ628" s="302"/>
      <c r="BA628" s="302"/>
      <c r="BB628" s="302"/>
      <c r="BC628" s="302"/>
      <c r="BD628" s="302"/>
      <c r="BE628" s="60"/>
    </row>
    <row r="629" spans="1:57" s="301" customFormat="1">
      <c r="A629" s="57"/>
      <c r="B629" s="57"/>
      <c r="C629" s="57"/>
      <c r="D629" s="57"/>
      <c r="E629" s="57"/>
      <c r="F629" s="57"/>
      <c r="G629" s="57"/>
      <c r="H629" s="57"/>
      <c r="I629" s="300"/>
      <c r="J629" s="57"/>
      <c r="K629" s="57"/>
      <c r="L629" s="57"/>
      <c r="M629" s="57"/>
      <c r="N629" s="57"/>
      <c r="O629" s="57"/>
      <c r="P629" s="146"/>
      <c r="Q629" s="146"/>
      <c r="V629" s="302"/>
      <c r="W629" s="302"/>
      <c r="X629" s="302"/>
      <c r="Y629" s="302"/>
      <c r="Z629" s="302"/>
      <c r="AA629" s="302"/>
      <c r="AB629" s="56"/>
      <c r="AC629" s="302"/>
      <c r="AD629" s="302"/>
      <c r="AE629" s="302"/>
      <c r="AF629" s="302"/>
      <c r="AG629" s="302"/>
      <c r="AH629" s="302"/>
      <c r="AI629" s="302"/>
      <c r="AJ629" s="302"/>
      <c r="AK629" s="302"/>
      <c r="AL629" s="302"/>
      <c r="AM629" s="302"/>
      <c r="AN629" s="302"/>
      <c r="AO629" s="302"/>
      <c r="AP629" s="302"/>
      <c r="AX629" s="302"/>
      <c r="AY629" s="302"/>
      <c r="AZ629" s="302"/>
      <c r="BA629" s="302"/>
      <c r="BB629" s="302"/>
      <c r="BC629" s="302"/>
      <c r="BD629" s="302"/>
      <c r="BE629" s="60"/>
    </row>
    <row r="630" spans="1:57" s="301" customFormat="1">
      <c r="A630" s="57"/>
      <c r="B630" s="57"/>
      <c r="C630" s="57"/>
      <c r="D630" s="57"/>
      <c r="E630" s="57"/>
      <c r="F630" s="57"/>
      <c r="G630" s="57"/>
      <c r="H630" s="57"/>
      <c r="I630" s="300"/>
      <c r="J630" s="57"/>
      <c r="K630" s="57"/>
      <c r="L630" s="57"/>
      <c r="M630" s="57"/>
      <c r="N630" s="57"/>
      <c r="O630" s="57"/>
      <c r="P630" s="146"/>
      <c r="Q630" s="146"/>
      <c r="V630" s="302"/>
      <c r="W630" s="302"/>
      <c r="X630" s="302"/>
      <c r="Y630" s="302"/>
      <c r="Z630" s="302"/>
      <c r="AA630" s="302"/>
      <c r="AB630" s="56"/>
      <c r="AC630" s="302"/>
      <c r="AD630" s="302"/>
      <c r="AE630" s="302"/>
      <c r="AF630" s="302"/>
      <c r="AG630" s="302"/>
      <c r="AH630" s="302"/>
      <c r="AI630" s="302"/>
      <c r="AJ630" s="302"/>
      <c r="AK630" s="302"/>
      <c r="AL630" s="302"/>
      <c r="AM630" s="302"/>
      <c r="AN630" s="302"/>
      <c r="AO630" s="302"/>
      <c r="AP630" s="302"/>
      <c r="AX630" s="302"/>
      <c r="AY630" s="302"/>
      <c r="AZ630" s="302"/>
      <c r="BA630" s="302"/>
      <c r="BB630" s="302"/>
      <c r="BC630" s="302"/>
      <c r="BD630" s="302"/>
      <c r="BE630" s="60"/>
    </row>
    <row r="631" spans="1:57" s="301" customFormat="1">
      <c r="A631" s="57"/>
      <c r="B631" s="57"/>
      <c r="C631" s="57"/>
      <c r="D631" s="57"/>
      <c r="E631" s="57"/>
      <c r="F631" s="57"/>
      <c r="G631" s="57"/>
      <c r="H631" s="57"/>
      <c r="I631" s="300"/>
      <c r="J631" s="57"/>
      <c r="K631" s="57"/>
      <c r="L631" s="57"/>
      <c r="M631" s="57"/>
      <c r="N631" s="57"/>
      <c r="O631" s="57"/>
      <c r="P631" s="146"/>
      <c r="Q631" s="146"/>
      <c r="V631" s="302"/>
      <c r="W631" s="302"/>
      <c r="X631" s="302"/>
      <c r="Y631" s="302"/>
      <c r="Z631" s="302"/>
      <c r="AA631" s="302"/>
      <c r="AB631" s="56"/>
      <c r="AC631" s="302"/>
      <c r="AD631" s="302"/>
      <c r="AE631" s="302"/>
      <c r="AF631" s="302"/>
      <c r="AG631" s="302"/>
      <c r="AH631" s="302"/>
      <c r="AI631" s="302"/>
      <c r="AJ631" s="302"/>
      <c r="AK631" s="302"/>
      <c r="AL631" s="302"/>
      <c r="AM631" s="302"/>
      <c r="AN631" s="302"/>
      <c r="AO631" s="302"/>
      <c r="AP631" s="302"/>
      <c r="AX631" s="302"/>
      <c r="AY631" s="302"/>
      <c r="AZ631" s="302"/>
      <c r="BA631" s="302"/>
      <c r="BB631" s="302"/>
      <c r="BC631" s="302"/>
      <c r="BD631" s="302"/>
      <c r="BE631" s="60"/>
    </row>
    <row r="632" spans="1:57" s="301" customFormat="1">
      <c r="A632" s="57"/>
      <c r="B632" s="57"/>
      <c r="C632" s="57"/>
      <c r="D632" s="57"/>
      <c r="E632" s="57"/>
      <c r="F632" s="57"/>
      <c r="G632" s="57"/>
      <c r="H632" s="57"/>
      <c r="I632" s="300"/>
      <c r="J632" s="57"/>
      <c r="K632" s="57"/>
      <c r="L632" s="57"/>
      <c r="M632" s="57"/>
      <c r="N632" s="57"/>
      <c r="O632" s="57"/>
      <c r="P632" s="146"/>
      <c r="Q632" s="146"/>
      <c r="V632" s="302"/>
      <c r="W632" s="302"/>
      <c r="X632" s="302"/>
      <c r="Y632" s="302"/>
      <c r="Z632" s="302"/>
      <c r="AA632" s="302"/>
      <c r="AB632" s="56"/>
      <c r="AC632" s="302"/>
      <c r="AD632" s="302"/>
      <c r="AE632" s="302"/>
      <c r="AF632" s="302"/>
      <c r="AG632" s="302"/>
      <c r="AH632" s="302"/>
      <c r="AI632" s="302"/>
      <c r="AJ632" s="302"/>
      <c r="AK632" s="302"/>
      <c r="AL632" s="302"/>
      <c r="AM632" s="302"/>
      <c r="AN632" s="302"/>
      <c r="AO632" s="302"/>
      <c r="AP632" s="302"/>
      <c r="AX632" s="302"/>
      <c r="AY632" s="302"/>
      <c r="AZ632" s="302"/>
      <c r="BA632" s="302"/>
      <c r="BB632" s="302"/>
      <c r="BC632" s="302"/>
      <c r="BD632" s="302"/>
      <c r="BE632" s="60"/>
    </row>
    <row r="633" spans="1:57" s="301" customFormat="1">
      <c r="A633" s="57"/>
      <c r="B633" s="57"/>
      <c r="C633" s="57"/>
      <c r="D633" s="57"/>
      <c r="E633" s="57"/>
      <c r="F633" s="57"/>
      <c r="G633" s="57"/>
      <c r="H633" s="57"/>
      <c r="I633" s="300"/>
      <c r="J633" s="57"/>
      <c r="K633" s="57"/>
      <c r="L633" s="57"/>
      <c r="M633" s="57"/>
      <c r="N633" s="57"/>
      <c r="O633" s="57"/>
      <c r="P633" s="146"/>
      <c r="Q633" s="146"/>
      <c r="V633" s="302"/>
      <c r="W633" s="302"/>
      <c r="X633" s="302"/>
      <c r="Y633" s="302"/>
      <c r="Z633" s="302"/>
      <c r="AA633" s="302"/>
      <c r="AB633" s="56"/>
      <c r="AC633" s="302"/>
      <c r="AD633" s="302"/>
      <c r="AE633" s="302"/>
      <c r="AF633" s="302"/>
      <c r="AG633" s="302"/>
      <c r="AH633" s="302"/>
      <c r="AI633" s="302"/>
      <c r="AJ633" s="302"/>
      <c r="AK633" s="302"/>
      <c r="AL633" s="302"/>
      <c r="AM633" s="302"/>
      <c r="AN633" s="302"/>
      <c r="AO633" s="302"/>
      <c r="AP633" s="302"/>
      <c r="AX633" s="302"/>
      <c r="AY633" s="302"/>
      <c r="AZ633" s="302"/>
      <c r="BA633" s="302"/>
      <c r="BB633" s="302"/>
      <c r="BC633" s="302"/>
      <c r="BD633" s="302"/>
      <c r="BE633" s="60"/>
    </row>
    <row r="634" spans="1:57" s="301" customFormat="1">
      <c r="A634" s="57"/>
      <c r="B634" s="57"/>
      <c r="C634" s="57"/>
      <c r="D634" s="57"/>
      <c r="E634" s="57"/>
      <c r="F634" s="57"/>
      <c r="G634" s="57"/>
      <c r="H634" s="57"/>
      <c r="I634" s="300"/>
      <c r="J634" s="57"/>
      <c r="K634" s="57"/>
      <c r="L634" s="57"/>
      <c r="M634" s="57"/>
      <c r="N634" s="57"/>
      <c r="O634" s="57"/>
      <c r="P634" s="146"/>
      <c r="Q634" s="146"/>
      <c r="V634" s="302"/>
      <c r="W634" s="302"/>
      <c r="X634" s="302"/>
      <c r="Y634" s="302"/>
      <c r="Z634" s="302"/>
      <c r="AA634" s="302"/>
      <c r="AB634" s="56"/>
      <c r="AC634" s="302"/>
      <c r="AD634" s="302"/>
      <c r="AE634" s="302"/>
      <c r="AF634" s="302"/>
      <c r="AG634" s="302"/>
      <c r="AH634" s="302"/>
      <c r="AI634" s="302"/>
      <c r="AJ634" s="302"/>
      <c r="AK634" s="302"/>
      <c r="AL634" s="302"/>
      <c r="AM634" s="302"/>
      <c r="AN634" s="302"/>
      <c r="AO634" s="302"/>
      <c r="AP634" s="302"/>
      <c r="AX634" s="302"/>
      <c r="AY634" s="302"/>
      <c r="AZ634" s="302"/>
      <c r="BA634" s="302"/>
      <c r="BB634" s="302"/>
      <c r="BC634" s="302"/>
      <c r="BD634" s="302"/>
      <c r="BE634" s="60"/>
    </row>
    <row r="635" spans="1:57" s="301" customFormat="1">
      <c r="A635" s="57"/>
      <c r="B635" s="57"/>
      <c r="C635" s="57"/>
      <c r="D635" s="57"/>
      <c r="E635" s="57"/>
      <c r="F635" s="57"/>
      <c r="G635" s="57"/>
      <c r="H635" s="57"/>
      <c r="I635" s="300"/>
      <c r="J635" s="57"/>
      <c r="K635" s="57"/>
      <c r="L635" s="57"/>
      <c r="M635" s="57"/>
      <c r="N635" s="57"/>
      <c r="O635" s="57"/>
      <c r="P635" s="146"/>
      <c r="Q635" s="146"/>
      <c r="V635" s="302"/>
      <c r="W635" s="302"/>
      <c r="X635" s="302"/>
      <c r="Y635" s="302"/>
      <c r="Z635" s="302"/>
      <c r="AA635" s="302"/>
      <c r="AB635" s="56"/>
      <c r="AC635" s="302"/>
      <c r="AD635" s="302"/>
      <c r="AE635" s="302"/>
      <c r="AF635" s="302"/>
      <c r="AG635" s="302"/>
      <c r="AH635" s="302"/>
      <c r="AI635" s="302"/>
      <c r="AJ635" s="302"/>
      <c r="AK635" s="302"/>
      <c r="AL635" s="302"/>
      <c r="AM635" s="302"/>
      <c r="AN635" s="302"/>
      <c r="AO635" s="302"/>
      <c r="AP635" s="302"/>
      <c r="AX635" s="302"/>
      <c r="AY635" s="302"/>
      <c r="AZ635" s="302"/>
      <c r="BA635" s="302"/>
      <c r="BB635" s="302"/>
      <c r="BC635" s="302"/>
      <c r="BD635" s="302"/>
      <c r="BE635" s="60"/>
    </row>
    <row r="636" spans="1:57" s="301" customFormat="1">
      <c r="A636" s="57"/>
      <c r="B636" s="57"/>
      <c r="C636" s="57"/>
      <c r="D636" s="57"/>
      <c r="E636" s="57"/>
      <c r="F636" s="57"/>
      <c r="G636" s="57"/>
      <c r="H636" s="57"/>
      <c r="I636" s="300"/>
      <c r="J636" s="57"/>
      <c r="K636" s="57"/>
      <c r="L636" s="57"/>
      <c r="M636" s="57"/>
      <c r="N636" s="57"/>
      <c r="O636" s="57"/>
      <c r="P636" s="146"/>
      <c r="Q636" s="146"/>
      <c r="V636" s="302"/>
      <c r="W636" s="302"/>
      <c r="X636" s="302"/>
      <c r="Y636" s="302"/>
      <c r="Z636" s="302"/>
      <c r="AA636" s="302"/>
      <c r="AB636" s="56"/>
      <c r="AC636" s="302"/>
      <c r="AD636" s="302"/>
      <c r="AE636" s="302"/>
      <c r="AF636" s="302"/>
      <c r="AG636" s="302"/>
      <c r="AH636" s="302"/>
      <c r="AI636" s="302"/>
      <c r="AJ636" s="302"/>
      <c r="AK636" s="302"/>
      <c r="AL636" s="302"/>
      <c r="AM636" s="302"/>
      <c r="AN636" s="302"/>
      <c r="AO636" s="302"/>
      <c r="AP636" s="302"/>
      <c r="AX636" s="302"/>
      <c r="AY636" s="302"/>
      <c r="AZ636" s="302"/>
      <c r="BA636" s="302"/>
      <c r="BB636" s="302"/>
      <c r="BC636" s="302"/>
      <c r="BD636" s="302"/>
      <c r="BE636" s="60"/>
    </row>
    <row r="637" spans="1:57" s="301" customFormat="1">
      <c r="A637" s="57"/>
      <c r="B637" s="57"/>
      <c r="C637" s="57"/>
      <c r="D637" s="57"/>
      <c r="E637" s="57"/>
      <c r="F637" s="57"/>
      <c r="G637" s="57"/>
      <c r="H637" s="57"/>
      <c r="I637" s="300"/>
      <c r="J637" s="57"/>
      <c r="K637" s="57"/>
      <c r="L637" s="57"/>
      <c r="M637" s="57"/>
      <c r="N637" s="57"/>
      <c r="O637" s="57"/>
      <c r="P637" s="146"/>
      <c r="Q637" s="146"/>
      <c r="V637" s="302"/>
      <c r="W637" s="302"/>
      <c r="X637" s="302"/>
      <c r="Y637" s="302"/>
      <c r="Z637" s="302"/>
      <c r="AA637" s="302"/>
      <c r="AB637" s="56"/>
      <c r="AC637" s="302"/>
      <c r="AD637" s="302"/>
      <c r="AE637" s="302"/>
      <c r="AF637" s="302"/>
      <c r="AG637" s="302"/>
      <c r="AH637" s="302"/>
      <c r="AI637" s="302"/>
      <c r="AJ637" s="302"/>
      <c r="AK637" s="302"/>
      <c r="AL637" s="302"/>
      <c r="AM637" s="302"/>
      <c r="AN637" s="302"/>
      <c r="AO637" s="302"/>
      <c r="AP637" s="302"/>
      <c r="AX637" s="302"/>
      <c r="AY637" s="302"/>
      <c r="AZ637" s="302"/>
      <c r="BA637" s="302"/>
      <c r="BB637" s="302"/>
      <c r="BC637" s="302"/>
      <c r="BD637" s="302"/>
      <c r="BE637" s="60"/>
    </row>
    <row r="638" spans="1:57" s="301" customFormat="1">
      <c r="A638" s="57"/>
      <c r="B638" s="57"/>
      <c r="C638" s="57"/>
      <c r="D638" s="57"/>
      <c r="E638" s="57"/>
      <c r="F638" s="57"/>
      <c r="G638" s="57"/>
      <c r="H638" s="57"/>
      <c r="I638" s="300"/>
      <c r="J638" s="57"/>
      <c r="K638" s="57"/>
      <c r="L638" s="57"/>
      <c r="M638" s="57"/>
      <c r="N638" s="57"/>
      <c r="O638" s="57"/>
      <c r="P638" s="146"/>
      <c r="Q638" s="146"/>
      <c r="V638" s="302"/>
      <c r="W638" s="302"/>
      <c r="X638" s="302"/>
      <c r="Y638" s="302"/>
      <c r="Z638" s="302"/>
      <c r="AA638" s="302"/>
      <c r="AB638" s="56"/>
      <c r="AC638" s="302"/>
      <c r="AD638" s="302"/>
      <c r="AE638" s="302"/>
      <c r="AF638" s="302"/>
      <c r="AG638" s="302"/>
      <c r="AH638" s="302"/>
      <c r="AI638" s="302"/>
      <c r="AJ638" s="302"/>
      <c r="AK638" s="302"/>
      <c r="AL638" s="302"/>
      <c r="AM638" s="302"/>
      <c r="AN638" s="302"/>
      <c r="AO638" s="302"/>
      <c r="AP638" s="302"/>
      <c r="AX638" s="302"/>
      <c r="AY638" s="302"/>
      <c r="AZ638" s="302"/>
      <c r="BA638" s="302"/>
      <c r="BB638" s="302"/>
      <c r="BC638" s="302"/>
      <c r="BD638" s="302"/>
      <c r="BE638" s="60"/>
    </row>
    <row r="639" spans="1:57" s="301" customFormat="1">
      <c r="A639" s="57"/>
      <c r="B639" s="57"/>
      <c r="C639" s="57"/>
      <c r="D639" s="57"/>
      <c r="E639" s="57"/>
      <c r="F639" s="57"/>
      <c r="G639" s="57"/>
      <c r="H639" s="57"/>
      <c r="I639" s="300"/>
      <c r="J639" s="57"/>
      <c r="K639" s="57"/>
      <c r="L639" s="57"/>
      <c r="M639" s="57"/>
      <c r="N639" s="57"/>
      <c r="O639" s="57"/>
      <c r="P639" s="146"/>
      <c r="Q639" s="146"/>
      <c r="V639" s="302"/>
      <c r="W639" s="302"/>
      <c r="X639" s="302"/>
      <c r="Y639" s="302"/>
      <c r="Z639" s="302"/>
      <c r="AA639" s="302"/>
      <c r="AB639" s="56"/>
      <c r="AC639" s="302"/>
      <c r="AD639" s="302"/>
      <c r="AE639" s="302"/>
      <c r="AF639" s="302"/>
      <c r="AG639" s="302"/>
      <c r="AH639" s="302"/>
      <c r="AI639" s="302"/>
      <c r="AJ639" s="302"/>
      <c r="AK639" s="302"/>
      <c r="AL639" s="302"/>
      <c r="AM639" s="302"/>
      <c r="AN639" s="302"/>
      <c r="AO639" s="302"/>
      <c r="AP639" s="302"/>
      <c r="AX639" s="302"/>
      <c r="AY639" s="302"/>
      <c r="AZ639" s="302"/>
      <c r="BA639" s="302"/>
      <c r="BB639" s="302"/>
      <c r="BC639" s="302"/>
      <c r="BD639" s="302"/>
      <c r="BE639" s="60"/>
    </row>
    <row r="640" spans="1:57" s="301" customFormat="1">
      <c r="A640" s="57"/>
      <c r="B640" s="57"/>
      <c r="C640" s="57"/>
      <c r="D640" s="57"/>
      <c r="E640" s="57"/>
      <c r="F640" s="57"/>
      <c r="G640" s="57"/>
      <c r="H640" s="57"/>
      <c r="I640" s="300"/>
      <c r="J640" s="57"/>
      <c r="K640" s="57"/>
      <c r="L640" s="57"/>
      <c r="M640" s="57"/>
      <c r="N640" s="57"/>
      <c r="O640" s="57"/>
      <c r="P640" s="146"/>
      <c r="Q640" s="146"/>
      <c r="V640" s="302"/>
      <c r="W640" s="302"/>
      <c r="X640" s="302"/>
      <c r="Y640" s="302"/>
      <c r="Z640" s="302"/>
      <c r="AA640" s="302"/>
      <c r="AB640" s="56"/>
      <c r="AC640" s="302"/>
      <c r="AD640" s="302"/>
      <c r="AE640" s="302"/>
      <c r="AF640" s="302"/>
      <c r="AG640" s="302"/>
      <c r="AH640" s="302"/>
      <c r="AI640" s="302"/>
      <c r="AJ640" s="302"/>
      <c r="AK640" s="302"/>
      <c r="AL640" s="302"/>
      <c r="AM640" s="302"/>
      <c r="AN640" s="302"/>
      <c r="AO640" s="302"/>
      <c r="AP640" s="302"/>
      <c r="AX640" s="302"/>
      <c r="AY640" s="302"/>
      <c r="AZ640" s="302"/>
      <c r="BA640" s="302"/>
      <c r="BB640" s="302"/>
      <c r="BC640" s="302"/>
      <c r="BD640" s="302"/>
      <c r="BE640" s="60"/>
    </row>
    <row r="641" spans="1:57" s="301" customFormat="1">
      <c r="A641" s="57"/>
      <c r="B641" s="57"/>
      <c r="C641" s="57"/>
      <c r="D641" s="57"/>
      <c r="E641" s="57"/>
      <c r="F641" s="57"/>
      <c r="G641" s="57"/>
      <c r="H641" s="57"/>
      <c r="I641" s="300"/>
      <c r="J641" s="57"/>
      <c r="K641" s="57"/>
      <c r="L641" s="57"/>
      <c r="M641" s="57"/>
      <c r="N641" s="57"/>
      <c r="O641" s="57"/>
      <c r="P641" s="146"/>
      <c r="Q641" s="146"/>
      <c r="V641" s="302"/>
      <c r="W641" s="302"/>
      <c r="X641" s="302"/>
      <c r="Y641" s="302"/>
      <c r="Z641" s="302"/>
      <c r="AA641" s="302"/>
      <c r="AB641" s="56"/>
      <c r="AC641" s="302"/>
      <c r="AD641" s="302"/>
      <c r="AE641" s="302"/>
      <c r="AF641" s="302"/>
      <c r="AG641" s="302"/>
      <c r="AH641" s="302"/>
      <c r="AI641" s="302"/>
      <c r="AJ641" s="302"/>
      <c r="AK641" s="302"/>
      <c r="AL641" s="302"/>
      <c r="AM641" s="302"/>
      <c r="AN641" s="302"/>
      <c r="AO641" s="302"/>
      <c r="AP641" s="302"/>
      <c r="AX641" s="302"/>
      <c r="AY641" s="302"/>
      <c r="AZ641" s="302"/>
      <c r="BA641" s="302"/>
      <c r="BB641" s="302"/>
      <c r="BC641" s="302"/>
      <c r="BD641" s="302"/>
      <c r="BE641" s="60"/>
    </row>
    <row r="642" spans="1:57" s="301" customFormat="1">
      <c r="A642" s="57"/>
      <c r="B642" s="57"/>
      <c r="C642" s="57"/>
      <c r="D642" s="57"/>
      <c r="E642" s="57"/>
      <c r="F642" s="57"/>
      <c r="G642" s="57"/>
      <c r="H642" s="57"/>
      <c r="I642" s="300"/>
      <c r="J642" s="57"/>
      <c r="K642" s="57"/>
      <c r="L642" s="57"/>
      <c r="M642" s="57"/>
      <c r="N642" s="57"/>
      <c r="O642" s="57"/>
      <c r="P642" s="146"/>
      <c r="Q642" s="146"/>
      <c r="V642" s="302"/>
      <c r="W642" s="302"/>
      <c r="X642" s="302"/>
      <c r="Y642" s="302"/>
      <c r="Z642" s="302"/>
      <c r="AA642" s="302"/>
      <c r="AB642" s="56"/>
      <c r="AC642" s="302"/>
      <c r="AD642" s="302"/>
      <c r="AE642" s="302"/>
      <c r="AF642" s="302"/>
      <c r="AG642" s="302"/>
      <c r="AH642" s="302"/>
      <c r="AI642" s="302"/>
      <c r="AJ642" s="302"/>
      <c r="AK642" s="302"/>
      <c r="AL642" s="302"/>
      <c r="AM642" s="302"/>
      <c r="AN642" s="302"/>
      <c r="AO642" s="302"/>
      <c r="AP642" s="302"/>
      <c r="AX642" s="302"/>
      <c r="AY642" s="302"/>
      <c r="AZ642" s="302"/>
      <c r="BA642" s="302"/>
      <c r="BB642" s="302"/>
      <c r="BC642" s="302"/>
      <c r="BD642" s="302"/>
      <c r="BE642" s="60"/>
    </row>
    <row r="643" spans="1:57" s="301" customFormat="1">
      <c r="A643" s="57"/>
      <c r="B643" s="57"/>
      <c r="C643" s="57"/>
      <c r="D643" s="57"/>
      <c r="E643" s="57"/>
      <c r="F643" s="57"/>
      <c r="G643" s="57"/>
      <c r="H643" s="57"/>
      <c r="I643" s="300"/>
      <c r="J643" s="57"/>
      <c r="K643" s="57"/>
      <c r="L643" s="57"/>
      <c r="M643" s="57"/>
      <c r="N643" s="57"/>
      <c r="O643" s="57"/>
      <c r="P643" s="146"/>
      <c r="Q643" s="146"/>
      <c r="V643" s="302"/>
      <c r="W643" s="302"/>
      <c r="X643" s="302"/>
      <c r="Y643" s="302"/>
      <c r="Z643" s="302"/>
      <c r="AA643" s="302"/>
      <c r="AB643" s="56"/>
      <c r="AC643" s="302"/>
      <c r="AD643" s="302"/>
      <c r="AE643" s="302"/>
      <c r="AF643" s="302"/>
      <c r="AG643" s="302"/>
      <c r="AH643" s="302"/>
      <c r="AI643" s="302"/>
      <c r="AJ643" s="302"/>
      <c r="AK643" s="302"/>
      <c r="AL643" s="302"/>
      <c r="AM643" s="302"/>
      <c r="AN643" s="302"/>
      <c r="AO643" s="302"/>
      <c r="AP643" s="302"/>
      <c r="AX643" s="302"/>
      <c r="AY643" s="302"/>
      <c r="AZ643" s="302"/>
      <c r="BA643" s="302"/>
      <c r="BB643" s="302"/>
      <c r="BC643" s="302"/>
      <c r="BD643" s="302"/>
      <c r="BE643" s="60"/>
    </row>
    <row r="644" spans="1:57" s="301" customFormat="1">
      <c r="A644" s="57"/>
      <c r="B644" s="57"/>
      <c r="C644" s="57"/>
      <c r="D644" s="57"/>
      <c r="E644" s="57"/>
      <c r="F644" s="57"/>
      <c r="G644" s="57"/>
      <c r="H644" s="57"/>
      <c r="I644" s="300"/>
      <c r="J644" s="57"/>
      <c r="K644" s="57"/>
      <c r="L644" s="57"/>
      <c r="M644" s="57"/>
      <c r="N644" s="57"/>
      <c r="O644" s="57"/>
      <c r="P644" s="146"/>
      <c r="Q644" s="146"/>
      <c r="V644" s="302"/>
      <c r="W644" s="302"/>
      <c r="X644" s="302"/>
      <c r="Y644" s="302"/>
      <c r="Z644" s="302"/>
      <c r="AA644" s="302"/>
      <c r="AB644" s="56"/>
      <c r="AC644" s="302"/>
      <c r="AD644" s="302"/>
      <c r="AE644" s="302"/>
      <c r="AF644" s="302"/>
      <c r="AG644" s="302"/>
      <c r="AH644" s="302"/>
      <c r="AI644" s="302"/>
      <c r="AJ644" s="302"/>
      <c r="AK644" s="302"/>
      <c r="AL644" s="302"/>
      <c r="AM644" s="302"/>
      <c r="AN644" s="302"/>
      <c r="AO644" s="302"/>
      <c r="AP644" s="302"/>
      <c r="AX644" s="302"/>
      <c r="AY644" s="302"/>
      <c r="AZ644" s="302"/>
      <c r="BA644" s="302"/>
      <c r="BB644" s="302"/>
      <c r="BC644" s="302"/>
      <c r="BD644" s="302"/>
      <c r="BE644" s="60"/>
    </row>
    <row r="645" spans="1:57" s="301" customFormat="1">
      <c r="A645" s="57"/>
      <c r="B645" s="57"/>
      <c r="C645" s="57"/>
      <c r="D645" s="57"/>
      <c r="E645" s="57"/>
      <c r="F645" s="57"/>
      <c r="G645" s="57"/>
      <c r="H645" s="57"/>
      <c r="I645" s="300"/>
      <c r="J645" s="57"/>
      <c r="K645" s="57"/>
      <c r="L645" s="57"/>
      <c r="M645" s="57"/>
      <c r="N645" s="57"/>
      <c r="O645" s="57"/>
      <c r="P645" s="146"/>
      <c r="Q645" s="146"/>
      <c r="V645" s="302"/>
      <c r="W645" s="302"/>
      <c r="X645" s="302"/>
      <c r="Y645" s="302"/>
      <c r="Z645" s="302"/>
      <c r="AA645" s="302"/>
      <c r="AB645" s="56"/>
      <c r="AC645" s="302"/>
      <c r="AD645" s="302"/>
      <c r="AE645" s="302"/>
      <c r="AF645" s="302"/>
      <c r="AG645" s="302"/>
      <c r="AH645" s="302"/>
      <c r="AI645" s="302"/>
      <c r="AJ645" s="302"/>
      <c r="AK645" s="302"/>
      <c r="AL645" s="302"/>
      <c r="AM645" s="302"/>
      <c r="AN645" s="302"/>
      <c r="AO645" s="302"/>
      <c r="AP645" s="302"/>
      <c r="AX645" s="302"/>
      <c r="AY645" s="302"/>
      <c r="AZ645" s="302"/>
      <c r="BA645" s="302"/>
      <c r="BB645" s="302"/>
      <c r="BC645" s="302"/>
      <c r="BD645" s="302"/>
      <c r="BE645" s="60"/>
    </row>
    <row r="646" spans="1:57" s="301" customFormat="1">
      <c r="A646" s="57"/>
      <c r="B646" s="57"/>
      <c r="C646" s="57"/>
      <c r="D646" s="57"/>
      <c r="E646" s="57"/>
      <c r="F646" s="57"/>
      <c r="G646" s="57"/>
      <c r="H646" s="57"/>
      <c r="I646" s="300"/>
      <c r="J646" s="57"/>
      <c r="K646" s="57"/>
      <c r="L646" s="57"/>
      <c r="M646" s="57"/>
      <c r="N646" s="57"/>
      <c r="O646" s="57"/>
      <c r="P646" s="146"/>
      <c r="Q646" s="146"/>
      <c r="V646" s="302"/>
      <c r="W646" s="302"/>
      <c r="X646" s="302"/>
      <c r="Y646" s="302"/>
      <c r="Z646" s="302"/>
      <c r="AA646" s="302"/>
      <c r="AB646" s="56"/>
      <c r="AC646" s="302"/>
      <c r="AD646" s="302"/>
      <c r="AE646" s="302"/>
      <c r="AF646" s="302"/>
      <c r="AG646" s="302"/>
      <c r="AH646" s="302"/>
      <c r="AI646" s="302"/>
      <c r="AJ646" s="302"/>
      <c r="AK646" s="302"/>
      <c r="AL646" s="302"/>
      <c r="AM646" s="302"/>
      <c r="AN646" s="302"/>
      <c r="AO646" s="302"/>
      <c r="AP646" s="302"/>
      <c r="AX646" s="302"/>
      <c r="AY646" s="302"/>
      <c r="AZ646" s="302"/>
      <c r="BA646" s="302"/>
      <c r="BB646" s="302"/>
      <c r="BC646" s="302"/>
      <c r="BD646" s="302"/>
      <c r="BE646" s="60"/>
    </row>
    <row r="647" spans="1:57" s="301" customFormat="1">
      <c r="A647" s="57"/>
      <c r="B647" s="57"/>
      <c r="C647" s="57"/>
      <c r="D647" s="57"/>
      <c r="E647" s="57"/>
      <c r="F647" s="57"/>
      <c r="G647" s="57"/>
      <c r="H647" s="57"/>
      <c r="I647" s="300"/>
      <c r="J647" s="57"/>
      <c r="K647" s="57"/>
      <c r="L647" s="57"/>
      <c r="M647" s="57"/>
      <c r="N647" s="57"/>
      <c r="O647" s="57"/>
      <c r="P647" s="146"/>
      <c r="Q647" s="146"/>
      <c r="V647" s="302"/>
      <c r="W647" s="302"/>
      <c r="X647" s="302"/>
      <c r="Y647" s="302"/>
      <c r="Z647" s="302"/>
      <c r="AA647" s="302"/>
      <c r="AB647" s="56"/>
      <c r="AC647" s="302"/>
      <c r="AD647" s="302"/>
      <c r="AE647" s="302"/>
      <c r="AF647" s="302"/>
      <c r="AG647" s="302"/>
      <c r="AH647" s="302"/>
      <c r="AI647" s="302"/>
      <c r="AJ647" s="302"/>
      <c r="AK647" s="302"/>
      <c r="AL647" s="302"/>
      <c r="AM647" s="302"/>
      <c r="AN647" s="302"/>
      <c r="AO647" s="302"/>
      <c r="AP647" s="302"/>
      <c r="AX647" s="302"/>
      <c r="AY647" s="302"/>
      <c r="AZ647" s="302"/>
      <c r="BA647" s="302"/>
      <c r="BB647" s="302"/>
      <c r="BC647" s="302"/>
      <c r="BD647" s="302"/>
      <c r="BE647" s="60"/>
    </row>
    <row r="648" spans="1:57" s="301" customFormat="1">
      <c r="A648" s="57"/>
      <c r="B648" s="57"/>
      <c r="C648" s="57"/>
      <c r="D648" s="57"/>
      <c r="E648" s="57"/>
      <c r="F648" s="57"/>
      <c r="G648" s="57"/>
      <c r="H648" s="57"/>
      <c r="I648" s="300"/>
      <c r="J648" s="57"/>
      <c r="K648" s="57"/>
      <c r="L648" s="57"/>
      <c r="M648" s="57"/>
      <c r="N648" s="57"/>
      <c r="O648" s="57"/>
      <c r="P648" s="146"/>
      <c r="Q648" s="146"/>
      <c r="V648" s="302"/>
      <c r="W648" s="302"/>
      <c r="X648" s="302"/>
      <c r="Y648" s="302"/>
      <c r="Z648" s="302"/>
      <c r="AA648" s="302"/>
      <c r="AB648" s="56"/>
      <c r="AC648" s="302"/>
      <c r="AD648" s="302"/>
      <c r="AE648" s="302"/>
      <c r="AF648" s="302"/>
      <c r="AG648" s="302"/>
      <c r="AH648" s="302"/>
      <c r="AI648" s="302"/>
      <c r="AJ648" s="302"/>
      <c r="AK648" s="302"/>
      <c r="AL648" s="302"/>
      <c r="AM648" s="302"/>
      <c r="AN648" s="302"/>
      <c r="AO648" s="302"/>
      <c r="AP648" s="302"/>
      <c r="AX648" s="302"/>
      <c r="AY648" s="302"/>
      <c r="AZ648" s="302"/>
      <c r="BA648" s="302"/>
      <c r="BB648" s="302"/>
      <c r="BC648" s="302"/>
      <c r="BD648" s="302"/>
      <c r="BE648" s="60"/>
    </row>
    <row r="649" spans="1:57" s="301" customFormat="1">
      <c r="A649" s="57"/>
      <c r="B649" s="57"/>
      <c r="C649" s="57"/>
      <c r="D649" s="57"/>
      <c r="E649" s="57"/>
      <c r="F649" s="57"/>
      <c r="G649" s="57"/>
      <c r="H649" s="57"/>
      <c r="I649" s="300"/>
      <c r="J649" s="57"/>
      <c r="K649" s="57"/>
      <c r="L649" s="57"/>
      <c r="M649" s="57"/>
      <c r="N649" s="57"/>
      <c r="O649" s="57"/>
      <c r="P649" s="146"/>
      <c r="Q649" s="146"/>
      <c r="V649" s="302"/>
      <c r="W649" s="302"/>
      <c r="X649" s="302"/>
      <c r="Y649" s="302"/>
      <c r="Z649" s="302"/>
      <c r="AA649" s="302"/>
      <c r="AB649" s="56"/>
      <c r="AC649" s="302"/>
      <c r="AD649" s="302"/>
      <c r="AE649" s="302"/>
      <c r="AF649" s="302"/>
      <c r="AG649" s="302"/>
      <c r="AH649" s="302"/>
      <c r="AI649" s="302"/>
      <c r="AJ649" s="302"/>
      <c r="AK649" s="302"/>
      <c r="AL649" s="302"/>
      <c r="AM649" s="302"/>
      <c r="AN649" s="302"/>
      <c r="AO649" s="302"/>
      <c r="AP649" s="302"/>
      <c r="AX649" s="302"/>
      <c r="AY649" s="302"/>
      <c r="AZ649" s="302"/>
      <c r="BA649" s="302"/>
      <c r="BB649" s="302"/>
      <c r="BC649" s="302"/>
      <c r="BD649" s="302"/>
      <c r="BE649" s="60"/>
    </row>
    <row r="650" spans="1:57" s="301" customFormat="1">
      <c r="A650" s="57"/>
      <c r="B650" s="57"/>
      <c r="C650" s="57"/>
      <c r="D650" s="57"/>
      <c r="E650" s="57"/>
      <c r="F650" s="57"/>
      <c r="G650" s="57"/>
      <c r="H650" s="57"/>
      <c r="I650" s="300"/>
      <c r="J650" s="57"/>
      <c r="K650" s="57"/>
      <c r="L650" s="57"/>
      <c r="M650" s="57"/>
      <c r="N650" s="57"/>
      <c r="O650" s="57"/>
      <c r="P650" s="146"/>
      <c r="Q650" s="146"/>
      <c r="V650" s="302"/>
      <c r="W650" s="302"/>
      <c r="X650" s="302"/>
      <c r="Y650" s="302"/>
      <c r="Z650" s="302"/>
      <c r="AA650" s="302"/>
      <c r="AB650" s="56"/>
      <c r="AC650" s="302"/>
      <c r="AD650" s="302"/>
      <c r="AE650" s="302"/>
      <c r="AF650" s="302"/>
      <c r="AG650" s="302"/>
      <c r="AH650" s="302"/>
      <c r="AI650" s="302"/>
      <c r="AJ650" s="302"/>
      <c r="AK650" s="302"/>
      <c r="AL650" s="302"/>
      <c r="AM650" s="302"/>
      <c r="AN650" s="302"/>
      <c r="AO650" s="302"/>
      <c r="AP650" s="302"/>
      <c r="AX650" s="302"/>
      <c r="AY650" s="302"/>
      <c r="AZ650" s="302"/>
      <c r="BA650" s="302"/>
      <c r="BB650" s="302"/>
      <c r="BC650" s="302"/>
      <c r="BD650" s="302"/>
      <c r="BE650" s="60"/>
    </row>
    <row r="651" spans="1:57" s="301" customFormat="1">
      <c r="A651" s="57"/>
      <c r="B651" s="57"/>
      <c r="C651" s="57"/>
      <c r="D651" s="57"/>
      <c r="E651" s="57"/>
      <c r="F651" s="57"/>
      <c r="G651" s="57"/>
      <c r="H651" s="57"/>
      <c r="I651" s="300"/>
      <c r="J651" s="57"/>
      <c r="K651" s="57"/>
      <c r="L651" s="57"/>
      <c r="M651" s="57"/>
      <c r="N651" s="57"/>
      <c r="O651" s="57"/>
      <c r="P651" s="146"/>
      <c r="Q651" s="146"/>
      <c r="V651" s="302"/>
      <c r="W651" s="302"/>
      <c r="X651" s="302"/>
      <c r="Y651" s="302"/>
      <c r="Z651" s="302"/>
      <c r="AA651" s="302"/>
      <c r="AB651" s="56"/>
      <c r="AC651" s="302"/>
      <c r="AD651" s="302"/>
      <c r="AE651" s="302"/>
      <c r="AF651" s="302"/>
      <c r="AG651" s="302"/>
      <c r="AH651" s="302"/>
      <c r="AI651" s="302"/>
      <c r="AJ651" s="302"/>
      <c r="AK651" s="302"/>
      <c r="AL651" s="302"/>
      <c r="AM651" s="302"/>
      <c r="AN651" s="302"/>
      <c r="AO651" s="302"/>
      <c r="AP651" s="302"/>
      <c r="AX651" s="302"/>
      <c r="AY651" s="302"/>
      <c r="AZ651" s="302"/>
      <c r="BA651" s="302"/>
      <c r="BB651" s="302"/>
      <c r="BC651" s="302"/>
      <c r="BD651" s="302"/>
      <c r="BE651" s="60"/>
    </row>
    <row r="652" spans="1:57" s="301" customFormat="1">
      <c r="A652" s="57"/>
      <c r="B652" s="57"/>
      <c r="C652" s="57"/>
      <c r="D652" s="57"/>
      <c r="E652" s="57"/>
      <c r="F652" s="57"/>
      <c r="G652" s="57"/>
      <c r="H652" s="57"/>
      <c r="I652" s="300"/>
      <c r="J652" s="57"/>
      <c r="K652" s="57"/>
      <c r="L652" s="57"/>
      <c r="M652" s="57"/>
      <c r="N652" s="57"/>
      <c r="O652" s="57"/>
      <c r="P652" s="146"/>
      <c r="Q652" s="146"/>
      <c r="V652" s="302"/>
      <c r="W652" s="302"/>
      <c r="X652" s="302"/>
      <c r="Y652" s="302"/>
      <c r="Z652" s="302"/>
      <c r="AA652" s="302"/>
      <c r="AB652" s="56"/>
      <c r="AC652" s="302"/>
      <c r="AD652" s="302"/>
      <c r="AE652" s="302"/>
      <c r="AF652" s="302"/>
      <c r="AG652" s="302"/>
      <c r="AH652" s="302"/>
      <c r="AI652" s="302"/>
      <c r="AJ652" s="302"/>
      <c r="AK652" s="302"/>
      <c r="AL652" s="302"/>
      <c r="AM652" s="302"/>
      <c r="AN652" s="302"/>
      <c r="AO652" s="302"/>
      <c r="AP652" s="302"/>
      <c r="AX652" s="302"/>
      <c r="AY652" s="302"/>
      <c r="AZ652" s="302"/>
      <c r="BA652" s="302"/>
      <c r="BB652" s="302"/>
      <c r="BC652" s="302"/>
      <c r="BD652" s="302"/>
      <c r="BE652" s="60"/>
    </row>
    <row r="653" spans="1:57" s="301" customFormat="1">
      <c r="A653" s="57"/>
      <c r="B653" s="57"/>
      <c r="C653" s="57"/>
      <c r="D653" s="57"/>
      <c r="E653" s="57"/>
      <c r="F653" s="57"/>
      <c r="G653" s="57"/>
      <c r="H653" s="57"/>
      <c r="I653" s="300"/>
      <c r="J653" s="57"/>
      <c r="K653" s="57"/>
      <c r="L653" s="57"/>
      <c r="M653" s="57"/>
      <c r="N653" s="57"/>
      <c r="O653" s="57"/>
      <c r="P653" s="146"/>
      <c r="Q653" s="146"/>
      <c r="V653" s="302"/>
      <c r="W653" s="302"/>
      <c r="X653" s="302"/>
      <c r="Y653" s="302"/>
      <c r="Z653" s="302"/>
      <c r="AA653" s="302"/>
      <c r="AB653" s="56"/>
      <c r="AC653" s="302"/>
      <c r="AD653" s="302"/>
      <c r="AE653" s="302"/>
      <c r="AF653" s="302"/>
      <c r="AG653" s="302"/>
      <c r="AH653" s="302"/>
      <c r="AI653" s="302"/>
      <c r="AJ653" s="302"/>
      <c r="AK653" s="302"/>
      <c r="AL653" s="302"/>
      <c r="AM653" s="302"/>
      <c r="AN653" s="302"/>
      <c r="AO653" s="302"/>
      <c r="AP653" s="302"/>
      <c r="AX653" s="302"/>
      <c r="AY653" s="302"/>
      <c r="AZ653" s="302"/>
      <c r="BA653" s="302"/>
      <c r="BB653" s="302"/>
      <c r="BC653" s="302"/>
      <c r="BD653" s="302"/>
      <c r="BE653" s="60"/>
    </row>
    <row r="654" spans="1:57" s="301" customFormat="1">
      <c r="A654" s="57"/>
      <c r="B654" s="57"/>
      <c r="C654" s="57"/>
      <c r="D654" s="57"/>
      <c r="E654" s="57"/>
      <c r="F654" s="57"/>
      <c r="G654" s="57"/>
      <c r="H654" s="57"/>
      <c r="I654" s="300"/>
      <c r="J654" s="57"/>
      <c r="K654" s="57"/>
      <c r="L654" s="57"/>
      <c r="M654" s="57"/>
      <c r="N654" s="57"/>
      <c r="O654" s="57"/>
      <c r="P654" s="146"/>
      <c r="Q654" s="146"/>
      <c r="V654" s="302"/>
      <c r="W654" s="302"/>
      <c r="X654" s="302"/>
      <c r="Y654" s="302"/>
      <c r="Z654" s="302"/>
      <c r="AA654" s="302"/>
      <c r="AB654" s="56"/>
      <c r="AC654" s="302"/>
      <c r="AD654" s="302"/>
      <c r="AE654" s="302"/>
      <c r="AF654" s="302"/>
      <c r="AG654" s="302"/>
      <c r="AH654" s="302"/>
      <c r="AI654" s="302"/>
      <c r="AJ654" s="302"/>
      <c r="AK654" s="302"/>
      <c r="AL654" s="302"/>
      <c r="AM654" s="302"/>
      <c r="AN654" s="302"/>
      <c r="AO654" s="302"/>
      <c r="AP654" s="302"/>
      <c r="AX654" s="302"/>
      <c r="AY654" s="302"/>
      <c r="AZ654" s="302"/>
      <c r="BA654" s="302"/>
      <c r="BB654" s="302"/>
      <c r="BC654" s="302"/>
      <c r="BD654" s="302"/>
      <c r="BE654" s="60"/>
    </row>
    <row r="655" spans="1:57" s="301" customFormat="1">
      <c r="A655" s="57"/>
      <c r="B655" s="57"/>
      <c r="C655" s="57"/>
      <c r="D655" s="57"/>
      <c r="E655" s="57"/>
      <c r="F655" s="57"/>
      <c r="G655" s="57"/>
      <c r="H655" s="57"/>
      <c r="I655" s="300"/>
      <c r="J655" s="57"/>
      <c r="K655" s="57"/>
      <c r="L655" s="57"/>
      <c r="M655" s="57"/>
      <c r="N655" s="57"/>
      <c r="O655" s="57"/>
      <c r="P655" s="146"/>
      <c r="Q655" s="146"/>
      <c r="V655" s="302"/>
      <c r="W655" s="302"/>
      <c r="X655" s="302"/>
      <c r="Y655" s="302"/>
      <c r="Z655" s="302"/>
      <c r="AA655" s="302"/>
      <c r="AB655" s="56"/>
      <c r="AC655" s="302"/>
      <c r="AD655" s="302"/>
      <c r="AE655" s="302"/>
      <c r="AF655" s="302"/>
      <c r="AG655" s="302"/>
      <c r="AH655" s="302"/>
      <c r="AI655" s="302"/>
      <c r="AJ655" s="302"/>
      <c r="AK655" s="302"/>
      <c r="AL655" s="302"/>
      <c r="AM655" s="302"/>
      <c r="AN655" s="302"/>
      <c r="AO655" s="302"/>
      <c r="AP655" s="302"/>
      <c r="AX655" s="302"/>
      <c r="AY655" s="302"/>
      <c r="AZ655" s="302"/>
      <c r="BA655" s="302"/>
      <c r="BB655" s="302"/>
      <c r="BC655" s="302"/>
      <c r="BD655" s="302"/>
      <c r="BE655" s="60"/>
    </row>
    <row r="656" spans="1:57" s="301" customFormat="1">
      <c r="A656" s="57"/>
      <c r="B656" s="57"/>
      <c r="C656" s="57"/>
      <c r="D656" s="57"/>
      <c r="E656" s="57"/>
      <c r="F656" s="57"/>
      <c r="G656" s="57"/>
      <c r="H656" s="57"/>
      <c r="I656" s="300"/>
      <c r="J656" s="57"/>
      <c r="K656" s="57"/>
      <c r="L656" s="57"/>
      <c r="M656" s="57"/>
      <c r="N656" s="57"/>
      <c r="O656" s="57"/>
      <c r="P656" s="146"/>
      <c r="Q656" s="146"/>
      <c r="V656" s="302"/>
      <c r="W656" s="302"/>
      <c r="X656" s="302"/>
      <c r="Y656" s="302"/>
      <c r="Z656" s="302"/>
      <c r="AA656" s="302"/>
      <c r="AB656" s="56"/>
      <c r="AC656" s="302"/>
      <c r="AD656" s="302"/>
      <c r="AE656" s="302"/>
      <c r="AF656" s="302"/>
      <c r="AG656" s="302"/>
      <c r="AH656" s="302"/>
      <c r="AI656" s="302"/>
      <c r="AJ656" s="302"/>
      <c r="AK656" s="302"/>
      <c r="AL656" s="302"/>
      <c r="AM656" s="302"/>
      <c r="AN656" s="302"/>
      <c r="AO656" s="302"/>
      <c r="AP656" s="302"/>
      <c r="AX656" s="302"/>
      <c r="AY656" s="302"/>
      <c r="AZ656" s="302"/>
      <c r="BA656" s="302"/>
      <c r="BB656" s="302"/>
      <c r="BC656" s="302"/>
      <c r="BD656" s="302"/>
      <c r="BE656" s="60"/>
    </row>
    <row r="657" spans="1:57" s="301" customFormat="1">
      <c r="A657" s="57"/>
      <c r="B657" s="57"/>
      <c r="C657" s="57"/>
      <c r="D657" s="57"/>
      <c r="E657" s="57"/>
      <c r="F657" s="57"/>
      <c r="G657" s="57"/>
      <c r="H657" s="57"/>
      <c r="I657" s="300"/>
      <c r="J657" s="57"/>
      <c r="K657" s="57"/>
      <c r="L657" s="57"/>
      <c r="M657" s="57"/>
      <c r="N657" s="57"/>
      <c r="O657" s="57"/>
      <c r="P657" s="146"/>
      <c r="Q657" s="146"/>
      <c r="V657" s="302"/>
      <c r="W657" s="302"/>
      <c r="X657" s="302"/>
      <c r="Y657" s="302"/>
      <c r="Z657" s="302"/>
      <c r="AA657" s="302"/>
      <c r="AB657" s="56"/>
      <c r="AC657" s="302"/>
      <c r="AD657" s="302"/>
      <c r="AE657" s="302"/>
      <c r="AF657" s="302"/>
      <c r="AG657" s="302"/>
      <c r="AH657" s="302"/>
      <c r="AI657" s="302"/>
      <c r="AJ657" s="302"/>
      <c r="AK657" s="302"/>
      <c r="AL657" s="302"/>
      <c r="AM657" s="302"/>
      <c r="AN657" s="302"/>
      <c r="AO657" s="302"/>
      <c r="AP657" s="302"/>
      <c r="AX657" s="302"/>
      <c r="AY657" s="302"/>
      <c r="AZ657" s="302"/>
      <c r="BA657" s="302"/>
      <c r="BB657" s="302"/>
      <c r="BC657" s="302"/>
      <c r="BD657" s="302"/>
      <c r="BE657" s="60"/>
    </row>
  </sheetData>
  <mergeCells count="92">
    <mergeCell ref="BC10:BC12"/>
    <mergeCell ref="BD10:BD12"/>
    <mergeCell ref="B332:BE332"/>
    <mergeCell ref="BB9:BB12"/>
    <mergeCell ref="BC9:BD9"/>
    <mergeCell ref="T10:T12"/>
    <mergeCell ref="U10:U12"/>
    <mergeCell ref="Y10:Y12"/>
    <mergeCell ref="Z10:Z12"/>
    <mergeCell ref="AC10:AC12"/>
    <mergeCell ref="AD10:AD12"/>
    <mergeCell ref="AO10:AO12"/>
    <mergeCell ref="AP10:AP12"/>
    <mergeCell ref="AJ9:AJ12"/>
    <mergeCell ref="AK9:AK12"/>
    <mergeCell ref="AL9:AL12"/>
    <mergeCell ref="BA8:BA12"/>
    <mergeCell ref="BB8:BD8"/>
    <mergeCell ref="J9:J12"/>
    <mergeCell ref="K9:K12"/>
    <mergeCell ref="S9:S12"/>
    <mergeCell ref="T9:U9"/>
    <mergeCell ref="X9:X12"/>
    <mergeCell ref="Y9:Z9"/>
    <mergeCell ref="AM8:AM12"/>
    <mergeCell ref="AN8:AP8"/>
    <mergeCell ref="AR8:AR12"/>
    <mergeCell ref="AS8:AS12"/>
    <mergeCell ref="AT8:AT12"/>
    <mergeCell ref="AU8:AW8"/>
    <mergeCell ref="AV9:AW9"/>
    <mergeCell ref="AV10:AV12"/>
    <mergeCell ref="AF8:AF12"/>
    <mergeCell ref="AB9:AB12"/>
    <mergeCell ref="AC9:AD9"/>
    <mergeCell ref="AX6:AX12"/>
    <mergeCell ref="AY6:AZ7"/>
    <mergeCell ref="AI8:AI12"/>
    <mergeCell ref="AJ8:AL8"/>
    <mergeCell ref="AE6:AF7"/>
    <mergeCell ref="AB8:AD8"/>
    <mergeCell ref="AE8:AE12"/>
    <mergeCell ref="AN9:AN12"/>
    <mergeCell ref="AO9:AP9"/>
    <mergeCell ref="AU9:AU12"/>
    <mergeCell ref="AY8:AY12"/>
    <mergeCell ref="AZ8:AZ12"/>
    <mergeCell ref="AW10:AW12"/>
    <mergeCell ref="BA6:BD7"/>
    <mergeCell ref="BE6:BE12"/>
    <mergeCell ref="I8:I12"/>
    <mergeCell ref="J8:K8"/>
    <mergeCell ref="L8:L12"/>
    <mergeCell ref="M8:M12"/>
    <mergeCell ref="N8:N12"/>
    <mergeCell ref="O8:O12"/>
    <mergeCell ref="AG6:AH7"/>
    <mergeCell ref="AI6:AL7"/>
    <mergeCell ref="AM6:AP7"/>
    <mergeCell ref="AQ6:AQ12"/>
    <mergeCell ref="AR6:AS7"/>
    <mergeCell ref="AT6:AW7"/>
    <mergeCell ref="AG8:AG12"/>
    <mergeCell ref="AH8:AH12"/>
    <mergeCell ref="P6:Q7"/>
    <mergeCell ref="R6:U7"/>
    <mergeCell ref="V6:V12"/>
    <mergeCell ref="W6:Z7"/>
    <mergeCell ref="AA6:AD7"/>
    <mergeCell ref="P8:P12"/>
    <mergeCell ref="Q8:Q12"/>
    <mergeCell ref="R8:R12"/>
    <mergeCell ref="S8:U8"/>
    <mergeCell ref="W8:W12"/>
    <mergeCell ref="X8:Z8"/>
    <mergeCell ref="AA8:AA12"/>
    <mergeCell ref="N6:O7"/>
    <mergeCell ref="A1:BE1"/>
    <mergeCell ref="A2:BE2"/>
    <mergeCell ref="A3:BE3"/>
    <mergeCell ref="A4:BE4"/>
    <mergeCell ref="AP5:BE5"/>
    <mergeCell ref="A6:A12"/>
    <mergeCell ref="B6:B12"/>
    <mergeCell ref="C6:C12"/>
    <mergeCell ref="D6:D12"/>
    <mergeCell ref="E6:E12"/>
    <mergeCell ref="F6:F12"/>
    <mergeCell ref="G6:G12"/>
    <mergeCell ref="H6:H12"/>
    <mergeCell ref="I6:K7"/>
    <mergeCell ref="L6:M7"/>
  </mergeCells>
  <phoneticPr fontId="39" type="noConversion"/>
  <hyperlinks>
    <hyperlink ref="I106" r:id="rId1" display="http://113.160.145.177/qlvb/vbpq.nsf/str/15517E5966F76A8947258105004FADEF"/>
  </hyperlinks>
  <printOptions horizontalCentered="1"/>
  <pageMargins left="0.39370078740157499" right="0.196850393700787" top="0.50433070866141705" bottom="0.44" header="0.31496062992126" footer="0.2"/>
  <pageSetup paperSize="8" scale="65" orientation="landscape" r:id="rId2"/>
  <headerFooter>
    <oddFooter>&amp;R&amp;K00+000-&amp;K01+000&amp;P+129&amp;K00+000-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Du kien VonNSDP 2020</vt:lpstr>
      <vt:lpstr>'Du kien VonNSDP 2020'!Print_Area</vt:lpstr>
      <vt:lpstr>'Du kien VonNSDP 2020'!Print_Titles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XP</cp:lastModifiedBy>
  <cp:lastPrinted>2019-12-02T08:48:03Z</cp:lastPrinted>
  <dcterms:created xsi:type="dcterms:W3CDTF">2019-11-24T08:10:17Z</dcterms:created>
  <dcterms:modified xsi:type="dcterms:W3CDTF">2019-12-17T02:38:36Z</dcterms:modified>
</cp:coreProperties>
</file>